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lady SCA\sca-queen-bees.sk\02 CARNIOLAN-bees-sk-profit_website_xar_files\"/>
    </mc:Choice>
  </mc:AlternateContent>
  <xr:revisionPtr revIDLastSave="0" documentId="13_ncr:1_{21BAACB5-9064-46E6-B06E-0DB4119FE09B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Karta matky" sheetId="2" r:id="rId1"/>
    <sheet name="Poznámky" sheetId="6" r:id="rId2"/>
    <sheet name="Hárok1" sheetId="12" r:id="rId3"/>
    <sheet name="HT č.01" sheetId="4" r:id="rId4"/>
    <sheet name="HT č.02" sheetId="7" r:id="rId5"/>
    <sheet name="HT č.03 uni" sheetId="10" r:id="rId6"/>
    <sheet name="HT č.04 uni" sheetId="11" r:id="rId7"/>
    <sheet name="PDDN.Var." sheetId="8" r:id="rId8"/>
    <sheet name="Var.Cal.Mar." sheetId="9" r:id="rId9"/>
  </sheets>
  <definedNames>
    <definedName name="_xlnm._FilterDatabase" localSheetId="2" hidden="1">Hárok1!$A$1:$A$5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2" i="4" s="1"/>
  <c r="E16" i="4"/>
  <c r="E16" i="7"/>
  <c r="E16" i="11" l="1"/>
  <c r="E16" i="10"/>
  <c r="M17" i="4" l="1"/>
  <c r="M17" i="7"/>
  <c r="M17" i="11" l="1"/>
  <c r="M16" i="11"/>
  <c r="M15" i="11"/>
  <c r="M17" i="10"/>
  <c r="M16" i="10"/>
  <c r="M15" i="10"/>
  <c r="M11" i="10"/>
  <c r="E18" i="10" l="1"/>
  <c r="M14" i="10"/>
  <c r="M13" i="10"/>
  <c r="M12" i="10"/>
  <c r="E11" i="10"/>
  <c r="E12" i="10" s="1"/>
  <c r="E13" i="10" s="1"/>
  <c r="M10" i="10"/>
  <c r="J3" i="10"/>
  <c r="H3" i="10"/>
  <c r="F3" i="10"/>
  <c r="D3" i="10"/>
  <c r="B3" i="10"/>
  <c r="I1" i="10" s="1"/>
  <c r="J3" i="11"/>
  <c r="H3" i="11"/>
  <c r="F3" i="11"/>
  <c r="D3" i="11"/>
  <c r="B3" i="11"/>
  <c r="E19" i="10" l="1"/>
  <c r="E20" i="10" s="1"/>
  <c r="J16" i="10" l="1"/>
  <c r="I17" i="10" s="1"/>
  <c r="E18" i="11" l="1"/>
  <c r="M14" i="11"/>
  <c r="M13" i="11"/>
  <c r="M12" i="11"/>
  <c r="M11" i="11"/>
  <c r="E11" i="11"/>
  <c r="E12" i="11" s="1"/>
  <c r="E13" i="11" s="1"/>
  <c r="M10" i="11"/>
  <c r="I1" i="11"/>
  <c r="E19" i="11" l="1"/>
  <c r="E20" i="11" s="1"/>
  <c r="J16" i="11" l="1"/>
  <c r="I17" i="11" s="1"/>
  <c r="E19" i="7"/>
  <c r="M16" i="7"/>
  <c r="M13" i="7"/>
  <c r="M12" i="7"/>
  <c r="M11" i="7"/>
  <c r="E11" i="7"/>
  <c r="E18" i="7" s="1"/>
  <c r="M10" i="7"/>
  <c r="M6" i="7"/>
  <c r="M5" i="7"/>
  <c r="J3" i="7"/>
  <c r="H3" i="7"/>
  <c r="F3" i="7"/>
  <c r="D3" i="7"/>
  <c r="B3" i="7"/>
  <c r="I1" i="7" s="1"/>
  <c r="M16" i="4"/>
  <c r="M13" i="4"/>
  <c r="M12" i="4"/>
  <c r="M11" i="4"/>
  <c r="M10" i="4"/>
  <c r="M5" i="4"/>
  <c r="E12" i="7" l="1"/>
  <c r="E13" i="7" s="1"/>
  <c r="E20" i="7" s="1"/>
  <c r="J16" i="7" s="1"/>
  <c r="I17" i="7" s="1"/>
  <c r="O34" i="2" l="1"/>
  <c r="N34" i="2"/>
  <c r="G3" i="2" l="1"/>
  <c r="B9" i="2" l="1"/>
  <c r="M34" i="2" l="1"/>
  <c r="J34" i="2"/>
  <c r="I34" i="2"/>
  <c r="H33" i="2"/>
  <c r="H34" i="2" s="1"/>
  <c r="G34" i="2"/>
  <c r="F34" i="2"/>
  <c r="E34" i="2"/>
  <c r="C33" i="2" l="1"/>
  <c r="C34" i="2" s="1"/>
  <c r="D34" i="2" l="1"/>
  <c r="H31" i="8" l="1"/>
  <c r="H30" i="8"/>
  <c r="H29" i="8"/>
  <c r="H24" i="8"/>
  <c r="H23" i="8"/>
  <c r="H22" i="8"/>
  <c r="H17" i="8"/>
  <c r="H16" i="8"/>
  <c r="H15" i="8"/>
  <c r="H32" i="8" l="1"/>
  <c r="H18" i="8"/>
  <c r="H25" i="8"/>
  <c r="I3" i="8"/>
  <c r="G3" i="8"/>
  <c r="E3" i="8"/>
  <c r="C3" i="8"/>
  <c r="A3" i="8"/>
  <c r="H1" i="8" s="1"/>
  <c r="E34" i="8" l="1"/>
  <c r="E35" i="8" s="1"/>
  <c r="E9" i="8"/>
  <c r="F9" i="8" s="1"/>
  <c r="H34" i="9"/>
  <c r="H33" i="9"/>
  <c r="J33" i="9" s="1"/>
  <c r="H32" i="9"/>
  <c r="J32" i="9" s="1"/>
  <c r="H31" i="9"/>
  <c r="J31" i="9" s="1"/>
  <c r="E21" i="9"/>
  <c r="F21" i="9" s="1"/>
  <c r="E19" i="9"/>
  <c r="F19" i="9" s="1"/>
  <c r="E15" i="9"/>
  <c r="F15" i="9" s="1"/>
  <c r="E13" i="9"/>
  <c r="F14" i="9" s="1"/>
  <c r="E11" i="9"/>
  <c r="F11" i="9" s="1"/>
  <c r="J34" i="9" l="1"/>
  <c r="F13" i="9"/>
  <c r="D34" i="8"/>
  <c r="D35" i="8" s="1"/>
  <c r="F34" i="8"/>
  <c r="F35" i="8" s="1"/>
  <c r="F12" i="9"/>
  <c r="F20" i="9"/>
  <c r="A2" i="6" l="1"/>
  <c r="E19" i="4" l="1"/>
  <c r="E18" i="4"/>
  <c r="M6" i="4"/>
  <c r="J3" i="4"/>
  <c r="H3" i="4"/>
  <c r="F3" i="4"/>
  <c r="D3" i="4"/>
  <c r="B3" i="4"/>
  <c r="I1" i="4" s="1"/>
  <c r="E13" i="4" l="1"/>
  <c r="E20" i="4" s="1"/>
  <c r="J16" i="4" s="1"/>
  <c r="I17" i="4" s="1"/>
  <c r="D3" i="2" l="1"/>
  <c r="L33" i="2" l="1"/>
  <c r="J33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<sst xmlns="http://schemas.openxmlformats.org/spreadsheetml/2006/main" count="402" uniqueCount="223">
  <si>
    <t>Rok</t>
  </si>
  <si>
    <t xml:space="preserve">                   Plemenárske údaje pre centrálny register.</t>
  </si>
  <si>
    <t>KARTA MATKY</t>
  </si>
  <si>
    <t>poloha nádstavkov</t>
  </si>
  <si>
    <t>pozície nádstavkov</t>
  </si>
  <si>
    <t>p7</t>
  </si>
  <si>
    <t>Číslo úľa</t>
  </si>
  <si>
    <t>Typ úľa</t>
  </si>
  <si>
    <t>Stanovište</t>
  </si>
  <si>
    <t>p6</t>
  </si>
  <si>
    <t>p5</t>
  </si>
  <si>
    <t>p4</t>
  </si>
  <si>
    <t>Označenie matky</t>
  </si>
  <si>
    <t>p3</t>
  </si>
  <si>
    <t>p2</t>
  </si>
  <si>
    <t>p1</t>
  </si>
  <si>
    <t>Evidenčné číslo
matky</t>
  </si>
  <si>
    <t xml:space="preserve">Mama matky
evid. značka </t>
  </si>
  <si>
    <t>Otec     matky
evid. značka</t>
  </si>
  <si>
    <t>Matka     trúdov
evid. značka</t>
  </si>
  <si>
    <t>Inbreeding</t>
  </si>
  <si>
    <t>Dátum</t>
  </si>
  <si>
    <t>Med</t>
  </si>
  <si>
    <t>Miernosť</t>
  </si>
  <si>
    <t>Rozbiehavosť</t>
  </si>
  <si>
    <t>Rojivosť</t>
  </si>
  <si>
    <t>Rozvoj</t>
  </si>
  <si>
    <t xml:space="preserve">Stavba      MS +  - </t>
  </si>
  <si>
    <t>HYG - Hyg. Test</t>
  </si>
  <si>
    <t>VSH - Varroa</t>
  </si>
  <si>
    <t>zimovanie počet ul.</t>
  </si>
  <si>
    <t>S+P</t>
  </si>
  <si>
    <t>po L</t>
  </si>
  <si>
    <t>hodnotenie</t>
  </si>
  <si>
    <t>Inseminácia 
matky</t>
  </si>
  <si>
    <t>VSTUPNÉ ÚDAJE:</t>
  </si>
  <si>
    <t>Chybové hlásenie:</t>
  </si>
  <si>
    <t>Intervaly kontrol</t>
  </si>
  <si>
    <t xml:space="preserve"> (12 alebo 24)</t>
  </si>
  <si>
    <t>Počet buniek v testovanej ploche plástu</t>
  </si>
  <si>
    <t>P =</t>
  </si>
  <si>
    <t>D=dátum</t>
  </si>
  <si>
    <t>C=čas</t>
  </si>
  <si>
    <t>prázdne buňky</t>
  </si>
  <si>
    <t>zaviečkov. buňky</t>
  </si>
  <si>
    <t>Na začiatok testu:</t>
  </si>
  <si>
    <t>t0 =</t>
  </si>
  <si>
    <t xml:space="preserve">N0 = </t>
  </si>
  <si>
    <t>Pri 1. kontrole</t>
  </si>
  <si>
    <t>t1 =</t>
  </si>
  <si>
    <t xml:space="preserve">N1 = </t>
  </si>
  <si>
    <t>Pri 2. kontrole</t>
  </si>
  <si>
    <t>t2 =</t>
  </si>
  <si>
    <t xml:space="preserve">N2 = </t>
  </si>
  <si>
    <t>Pri 3. poslednej kontrole</t>
  </si>
  <si>
    <t>t3 =</t>
  </si>
  <si>
    <t xml:space="preserve">N3 = </t>
  </si>
  <si>
    <t xml:space="preserve">NL =  </t>
  </si>
  <si>
    <r>
      <t xml:space="preserve">VÝSLEDOK  </t>
    </r>
    <r>
      <rPr>
        <b/>
        <sz val="10"/>
        <color indexed="12"/>
        <rFont val="Arial"/>
        <family val="2"/>
        <charset val="238"/>
      </rPr>
      <t>(hod.)</t>
    </r>
    <r>
      <rPr>
        <b/>
        <sz val="11"/>
        <color indexed="12"/>
        <rFont val="Arial"/>
        <family val="2"/>
        <charset val="238"/>
      </rPr>
      <t>:</t>
    </r>
  </si>
  <si>
    <t>HT =</t>
  </si>
  <si>
    <t>časový interval od t0 do t1</t>
  </si>
  <si>
    <t xml:space="preserve">T1 = </t>
  </si>
  <si>
    <t>časový interval od t0 do t2</t>
  </si>
  <si>
    <t xml:space="preserve">T2 = </t>
  </si>
  <si>
    <t>časový interval od t0 do t3</t>
  </si>
  <si>
    <t xml:space="preserve">T3 = </t>
  </si>
  <si>
    <t>carnicasokol@gmail.com</t>
  </si>
  <si>
    <t>Evidenčné číslo matky</t>
  </si>
  <si>
    <t>Otec matky
evid. značka</t>
  </si>
  <si>
    <t>Matka trúdov
evid. značka</t>
  </si>
  <si>
    <t xml:space="preserve">Hygienický test včelstva matky: </t>
  </si>
  <si>
    <t>Slovné hodnotenie pre známkovanie.</t>
  </si>
  <si>
    <t>VLASTNOSŤ</t>
  </si>
  <si>
    <t>zapisuje sa konkrétne množstvo odobraného medu pri aktuálnom dátume medobrania</t>
  </si>
  <si>
    <t>veľmi mierne</t>
  </si>
  <si>
    <t>mierne</t>
  </si>
  <si>
    <t>pichavé</t>
  </si>
  <si>
    <t>útočne</t>
  </si>
  <si>
    <t>pevne                       sedia na plode</t>
  </si>
  <si>
    <t>pohyblivé            na plode</t>
  </si>
  <si>
    <t>prechádzajú        na med</t>
  </si>
  <si>
    <t>opúšťajú              plásty</t>
  </si>
  <si>
    <t>žiadný pokus</t>
  </si>
  <si>
    <t>ľahko ovládateľné</t>
  </si>
  <si>
    <t>ťažko ovládateľné</t>
  </si>
  <si>
    <t>neovladáteľné</t>
  </si>
  <si>
    <t xml:space="preserve">Stavba   MS +  - </t>
  </si>
  <si>
    <t>HT - hygienický test</t>
  </si>
  <si>
    <t>Varroa</t>
  </si>
  <si>
    <t>Zimovanie počet ul.</t>
  </si>
  <si>
    <r>
      <rPr>
        <b/>
        <sz val="10"/>
        <color theme="1"/>
        <rFont val="Calibri"/>
        <family val="2"/>
        <charset val="238"/>
        <scheme val="minor"/>
      </rPr>
      <t xml:space="preserve">rozbiehavosť:                </t>
    </r>
    <r>
      <rPr>
        <sz val="10"/>
        <color theme="1"/>
        <rFont val="Calibri"/>
        <family val="2"/>
        <charset val="238"/>
        <scheme val="minor"/>
      </rPr>
      <t xml:space="preserve">sedenie včiel na plástoch pri prehliadke </t>
    </r>
  </si>
  <si>
    <r>
      <rPr>
        <b/>
        <sz val="10"/>
        <color theme="1"/>
        <rFont val="Calibri"/>
        <family val="2"/>
        <charset val="238"/>
        <scheme val="minor"/>
      </rPr>
      <t xml:space="preserve">Rojivosť:                             </t>
    </r>
    <r>
      <rPr>
        <sz val="10"/>
        <color theme="1"/>
        <rFont val="Calibri"/>
        <family val="2"/>
        <charset val="238"/>
        <scheme val="minor"/>
      </rPr>
      <t xml:space="preserve"> sklon včelstva k rojeniu</t>
    </r>
  </si>
  <si>
    <t>karta matky:</t>
  </si>
  <si>
    <t>slovné poznámky</t>
  </si>
  <si>
    <t>dátum:</t>
  </si>
  <si>
    <t>VN</t>
  </si>
  <si>
    <t>NN6</t>
  </si>
  <si>
    <t>NN5</t>
  </si>
  <si>
    <t>NN4</t>
  </si>
  <si>
    <t>NN3</t>
  </si>
  <si>
    <t>NN2</t>
  </si>
  <si>
    <t>NN1</t>
  </si>
  <si>
    <t>© Čermák Květoslav, 2005</t>
  </si>
  <si>
    <t>© Vladimír Sokol, 2011</t>
  </si>
  <si>
    <r>
      <t>Pozn:</t>
    </r>
    <r>
      <rPr>
        <sz val="12"/>
        <rFont val="Arial"/>
        <family val="2"/>
        <charset val="238"/>
      </rPr>
      <t xml:space="preserve">  Užívateľ vkladá vstupné údaje do žltých políčok, ostatné údaje sa dopočítajú automaticky.</t>
    </r>
  </si>
  <si>
    <t xml:space="preserve">   carnicasokol@gmail.com</t>
  </si>
  <si>
    <r>
      <rPr>
        <sz val="8"/>
        <rFont val="Arial"/>
        <family val="2"/>
        <charset val="238"/>
      </rPr>
      <t>©Sokol Vladimír, 2011</t>
    </r>
    <r>
      <rPr>
        <sz val="10"/>
        <rFont val="Arial"/>
        <family val="2"/>
        <charset val="238"/>
      </rPr>
      <t xml:space="preserve">   </t>
    </r>
  </si>
  <si>
    <r>
      <t xml:space="preserve">Odhad populace kleštíka ve včelstvu </t>
    </r>
    <r>
      <rPr>
        <sz val="16"/>
        <color indexed="18"/>
        <rFont val="Arial CE"/>
        <family val="2"/>
        <charset val="238"/>
      </rPr>
      <t>(metoda Dr. S. Martina, Anglie, 1998)</t>
    </r>
  </si>
  <si>
    <t>Populaci kleštíka 2500 autor považuje za kritickou, proto výsledkem výpočtu je čas (dnů), za který bude této hodnoty dosaženo</t>
  </si>
  <si>
    <t>Uživatel zapisuje data do zelených políček</t>
  </si>
  <si>
    <t>Metoda č. 1:    Přirozený spad kleštíků</t>
  </si>
  <si>
    <t>Měsíc</t>
  </si>
  <si>
    <t>Zapište
spad/den</t>
  </si>
  <si>
    <t>Korekční
koef.</t>
  </si>
  <si>
    <t>Odhad
populace</t>
  </si>
  <si>
    <t>Čas dosažení
2500 kleštíků</t>
  </si>
  <si>
    <t>leden</t>
  </si>
  <si>
    <t>únor</t>
  </si>
  <si>
    <t>březen  *</t>
  </si>
  <si>
    <t>duben   *</t>
  </si>
  <si>
    <t>květen</t>
  </si>
  <si>
    <t>červen</t>
  </si>
  <si>
    <t>červenec</t>
  </si>
  <si>
    <t>srpen</t>
  </si>
  <si>
    <t>září     *</t>
  </si>
  <si>
    <t>říjen   *</t>
  </si>
  <si>
    <t>listopad</t>
  </si>
  <si>
    <t>prosinec</t>
  </si>
  <si>
    <r>
      <t>*</t>
    </r>
    <r>
      <rPr>
        <sz val="9"/>
        <rFont val="Arial CE"/>
        <family val="2"/>
        <charset val="238"/>
      </rPr>
      <t xml:space="preserve">   velmi hrubý odhad pro období velkého kolísání množství plodu</t>
    </r>
  </si>
  <si>
    <t>Pozn.: Proti Martinovým údajům je zde zvýšen korekční koef. pro měsíce květen-srpen na 80; K. Čermák.</t>
  </si>
  <si>
    <t>Metoda č. 2:    Infikovanost plodu a včel</t>
  </si>
  <si>
    <t>Typ vzorku</t>
  </si>
  <si>
    <t>Sezona</t>
  </si>
  <si>
    <t>Zapište počet buněk nebo včel</t>
  </si>
  <si>
    <t>celkem v úlu</t>
  </si>
  <si>
    <t>ve vzorku</t>
  </si>
  <si>
    <t>infikovaných</t>
  </si>
  <si>
    <t>Zavíčkovaná trubčina</t>
  </si>
  <si>
    <t>léto</t>
  </si>
  <si>
    <t>Zavíčkovaná dělničina</t>
  </si>
  <si>
    <t>Dospělé včely</t>
  </si>
  <si>
    <t>zima</t>
  </si>
  <si>
    <t>Platné jsou měsíce: Pro trubčinu květen-srpen, pro dělničinu duben-září, pro včely v létě duben-září, v zimě říjen-březen.</t>
  </si>
  <si>
    <r>
      <t xml:space="preserve">Sestavil:      </t>
    </r>
    <r>
      <rPr>
        <sz val="10"/>
        <color indexed="58"/>
        <rFont val="Arial CE"/>
        <family val="2"/>
        <charset val="238"/>
      </rPr>
      <t xml:space="preserve"> Ing. Květoslav Čermák, Včelařská šlechtitelská stanice Petrušov, 2009</t>
    </r>
  </si>
  <si>
    <t>vigor@vigorbee.cz</t>
  </si>
  <si>
    <t>máj,jún,júl,august</t>
  </si>
  <si>
    <t xml:space="preserve">Mama matky evid. značka </t>
  </si>
  <si>
    <t>Otec matky evid. značka</t>
  </si>
  <si>
    <t>Matka trúdov evid. značka</t>
  </si>
  <si>
    <t>Mesiac</t>
  </si>
  <si>
    <t>Čas dosiahnutia
2500 klieštikov</t>
  </si>
  <si>
    <t>Metóda č. 2:    Infikovanosť plodu a včiel</t>
  </si>
  <si>
    <t>Metóda č. 1:    Prirodzený spád klieštika</t>
  </si>
  <si>
    <t>Sezóna</t>
  </si>
  <si>
    <t>Korekčný
koef.</t>
  </si>
  <si>
    <t>Pozn.: Proti Martinovým údajom je tu zvýšený korekční koef. pre mesiace máj-august na 80; K. Čermák.</t>
  </si>
  <si>
    <t>celkom v úli</t>
  </si>
  <si>
    <t>Typ vzorky</t>
  </si>
  <si>
    <t>Zaviečkovaná trubčina</t>
  </si>
  <si>
    <t>Zaviečkovaná robotničina</t>
  </si>
  <si>
    <t>Dospelé včely</t>
  </si>
  <si>
    <t>leto</t>
  </si>
  <si>
    <t>T2-druhá kontrola populačnej dynamiky rastu klieštika</t>
  </si>
  <si>
    <t>T1-prvá kontrola populačnej dynamiky rastu klieštika</t>
  </si>
  <si>
    <t>T0-Dátum prvej kontroly infikovanosti včelstva</t>
  </si>
  <si>
    <t>Zapíšte počet buniek alebo včiel</t>
  </si>
  <si>
    <t>Odhad
populácie</t>
  </si>
  <si>
    <t>v vzorke</t>
  </si>
  <si>
    <t>Užívateľ zapisuje údaje do zelených políčok</t>
  </si>
  <si>
    <t>©Sokol Vladimír, 2011</t>
  </si>
  <si>
    <t>Populačná dynamika denného nárastu klieštika vo včelstve</t>
  </si>
  <si>
    <t xml:space="preserve">časový interval kontroly </t>
  </si>
  <si>
    <t>PDDN klieštika</t>
  </si>
  <si>
    <t>dosiahnutá známka PDDN</t>
  </si>
  <si>
    <t>PddnV.</t>
  </si>
  <si>
    <t>zapíše sa počet vystavaných plástov v sezóne</t>
  </si>
  <si>
    <t>Označ.   Matky</t>
  </si>
  <si>
    <t>Kladie od: dátum</t>
  </si>
  <si>
    <t>Narodená
dňa:</t>
  </si>
  <si>
    <r>
      <t xml:space="preserve"> </t>
    </r>
    <r>
      <rPr>
        <sz val="10"/>
        <rFont val="Arial"/>
        <family val="2"/>
        <charset val="238"/>
      </rPr>
      <t>t0 - t1</t>
    </r>
  </si>
  <si>
    <r>
      <t xml:space="preserve"> </t>
    </r>
    <r>
      <rPr>
        <sz val="10"/>
        <rFont val="Arial"/>
        <family val="2"/>
        <charset val="238"/>
      </rPr>
      <t>t1 - t2</t>
    </r>
  </si>
  <si>
    <t>t0 - t2</t>
  </si>
  <si>
    <t>veľmi silný</t>
  </si>
  <si>
    <t>stredne silný</t>
  </si>
  <si>
    <t>slabý</t>
  </si>
  <si>
    <t>veľmi slabý</t>
  </si>
  <si>
    <t>rýchle slovné poznámky</t>
  </si>
  <si>
    <t>Nozema</t>
  </si>
  <si>
    <t>Zásoby</t>
  </si>
  <si>
    <t>negatívna</t>
  </si>
  <si>
    <t>slabá</t>
  </si>
  <si>
    <t>pokročilá</t>
  </si>
  <si>
    <t>silná</t>
  </si>
  <si>
    <t>vynikajúce</t>
  </si>
  <si>
    <t>dobré</t>
  </si>
  <si>
    <t>slabé</t>
  </si>
  <si>
    <t>bez zásob</t>
  </si>
  <si>
    <t>Nozema                                  stupeň úrovne nákazy z vyšetrenia zim.mrtvoliek</t>
  </si>
  <si>
    <t>Dosiahnutá známka  -  (bodové hodnotenie):</t>
  </si>
  <si>
    <t>hodnotí sa známkou, zapíše sa dosiahnutá bodová známka z matematického vzorca pre hygienický test (HT č.01, HT č.02)</t>
  </si>
  <si>
    <t>zapíše sa počet včelami obsadených medziplástových uličiek:             prvý údaj koniec mesiaca september/október, druhý údaj z mesiaca, december/január, tretí údaj z mesiaca marec/apríl</t>
  </si>
  <si>
    <t>zapíše sa dosiahnutá známka z výpočtu sledovanosti (PDDN.Var.) populačná dynamika denného nárastu populácie klieštika vo včelstve</t>
  </si>
  <si>
    <t>I =</t>
  </si>
  <si>
    <t xml:space="preserve"> </t>
  </si>
  <si>
    <t>I = intervaly kontrol v hodinách</t>
  </si>
  <si>
    <t xml:space="preserve">             C=</t>
  </si>
  <si>
    <t xml:space="preserve"> (1-až-24)</t>
  </si>
  <si>
    <t>P = počet buniek v testovanej ploche plástu</t>
  </si>
  <si>
    <t>C = časový interval pre harmonogram HT ,,formát hh:mm,,</t>
  </si>
  <si>
    <t>časový harmonogram kontroly testovaneho plástu HT</t>
  </si>
  <si>
    <t xml:space="preserve">Chybové hlásenia ? </t>
  </si>
  <si>
    <t>D=dátum+čas</t>
  </si>
  <si>
    <t xml:space="preserve"> prázdne buňky</t>
  </si>
  <si>
    <t>Začiatok testu:</t>
  </si>
  <si>
    <t>1. kontrola</t>
  </si>
  <si>
    <t>2. kontrola</t>
  </si>
  <si>
    <t>3. posledná kontrola</t>
  </si>
  <si>
    <r>
      <t xml:space="preserve">MIERA vyčistenia  </t>
    </r>
    <r>
      <rPr>
        <b/>
        <sz val="10"/>
        <color indexed="12"/>
        <rFont val="Arial"/>
        <family val="2"/>
        <charset val="238"/>
      </rPr>
      <t>(%.)</t>
    </r>
    <r>
      <rPr>
        <b/>
        <sz val="11"/>
        <color indexed="12"/>
        <rFont val="Arial"/>
        <family val="2"/>
        <charset val="238"/>
      </rPr>
      <t>:</t>
    </r>
  </si>
  <si>
    <t>Známka</t>
  </si>
  <si>
    <t>Plemeno: matky/včiel</t>
  </si>
  <si>
    <t xml:space="preserve">Plemeno: </t>
  </si>
  <si>
    <t>carnica</t>
  </si>
  <si>
    <t>SOK250001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</si>
</sst>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dd/mm/yy;@"/>
    <numFmt numFmtId="166" formatCode="0.0000"/>
    <numFmt numFmtId="167" formatCode="hh:mm;@"/>
    <numFmt numFmtId="168" formatCode="dd/mm/yyyy\ hh:mm;@"/>
    <numFmt numFmtId="169" formatCode="d/m/yy\ h:mm;@"/>
  </numFmts>
  <fonts count="8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5" tint="0.59996337778862885"/>
      <name val="Arial"/>
      <family val="2"/>
      <charset val="238"/>
    </font>
    <font>
      <b/>
      <sz val="20"/>
      <color rgb="FF002060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6"/>
      <color indexed="41"/>
      <name val="Arial"/>
      <family val="2"/>
      <charset val="238"/>
    </font>
    <font>
      <b/>
      <sz val="11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9"/>
      <name val="Arial"/>
      <family val="2"/>
      <charset val="238"/>
    </font>
    <font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indexed="44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1"/>
      <color indexed="1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b/>
      <sz val="18"/>
      <color rgb="FF002060"/>
      <name val="Calibri"/>
      <family val="2"/>
      <charset val="238"/>
      <scheme val="minor"/>
    </font>
    <font>
      <b/>
      <sz val="20"/>
      <color rgb="FF00206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6"/>
      <color indexed="18"/>
      <name val="Arial CE"/>
      <family val="2"/>
      <charset val="238"/>
    </font>
    <font>
      <sz val="16"/>
      <color indexed="18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58"/>
      <name val="Arial CE"/>
      <family val="2"/>
      <charset val="238"/>
    </font>
    <font>
      <sz val="10"/>
      <color indexed="58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9"/>
      <name val="Arial CE"/>
      <family val="2"/>
      <charset val="238"/>
    </font>
    <font>
      <sz val="10"/>
      <color rgb="FFC0000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4"/>
      <color indexed="18"/>
      <name val="Arial CE"/>
      <family val="2"/>
      <charset val="238"/>
    </font>
    <font>
      <b/>
      <sz val="14"/>
      <name val="Arial"/>
      <family val="2"/>
      <charset val="238"/>
    </font>
    <font>
      <sz val="9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u/>
      <sz val="1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u/>
      <sz val="9"/>
      <color theme="3" tint="-0.249977111117893"/>
      <name val="Arial"/>
      <family val="2"/>
      <charset val="238"/>
    </font>
    <font>
      <sz val="10"/>
      <color rgb="FF00B050"/>
      <name val="Arial"/>
      <family val="2"/>
      <charset val="238"/>
    </font>
    <font>
      <sz val="9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482">
    <xf numFmtId="0" fontId="0" fillId="0" borderId="0" xfId="0"/>
    <xf numFmtId="0" fontId="0" fillId="0" borderId="0" xfId="0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6" fillId="7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/>
    </xf>
    <xf numFmtId="14" fontId="10" fillId="12" borderId="7" xfId="0" applyNumberFormat="1" applyFont="1" applyFill="1" applyBorder="1" applyAlignment="1" applyProtection="1">
      <alignment horizontal="right"/>
      <protection hidden="1"/>
    </xf>
    <xf numFmtId="0" fontId="10" fillId="12" borderId="7" xfId="0" applyFont="1" applyFill="1" applyBorder="1" applyAlignment="1" applyProtection="1">
      <alignment horizontal="center"/>
      <protection hidden="1"/>
    </xf>
    <xf numFmtId="0" fontId="10" fillId="12" borderId="9" xfId="0" applyFont="1" applyFill="1" applyBorder="1" applyAlignment="1" applyProtection="1">
      <alignment horizontal="center"/>
      <protection hidden="1"/>
    </xf>
    <xf numFmtId="0" fontId="3" fillId="12" borderId="7" xfId="0" applyFont="1" applyFill="1" applyBorder="1" applyAlignment="1" applyProtection="1">
      <alignment horizontal="center"/>
      <protection hidden="1"/>
    </xf>
    <xf numFmtId="0" fontId="3" fillId="17" borderId="7" xfId="0" applyFont="1" applyFill="1" applyBorder="1" applyAlignment="1" applyProtection="1">
      <alignment horizontal="center"/>
      <protection hidden="1"/>
    </xf>
    <xf numFmtId="2" fontId="0" fillId="17" borderId="7" xfId="0" applyNumberFormat="1" applyFill="1" applyBorder="1" applyAlignment="1" applyProtection="1">
      <alignment horizontal="center"/>
      <protection hidden="1"/>
    </xf>
    <xf numFmtId="2" fontId="0" fillId="17" borderId="9" xfId="0" applyNumberFormat="1" applyFill="1" applyBorder="1" applyAlignment="1" applyProtection="1">
      <alignment horizontal="center"/>
      <protection hidden="1"/>
    </xf>
    <xf numFmtId="0" fontId="11" fillId="18" borderId="19" xfId="0" applyFont="1" applyFill="1" applyBorder="1" applyAlignment="1">
      <alignment vertical="center"/>
    </xf>
    <xf numFmtId="0" fontId="11" fillId="18" borderId="20" xfId="0" applyFont="1" applyFill="1" applyBorder="1" applyAlignment="1">
      <alignment vertical="center"/>
    </xf>
    <xf numFmtId="0" fontId="0" fillId="18" borderId="19" xfId="0" applyFill="1" applyBorder="1"/>
    <xf numFmtId="0" fontId="0" fillId="18" borderId="20" xfId="0" applyFill="1" applyBorder="1"/>
    <xf numFmtId="0" fontId="0" fillId="19" borderId="4" xfId="0" applyFill="1" applyBorder="1"/>
    <xf numFmtId="0" fontId="13" fillId="19" borderId="0" xfId="0" applyFont="1" applyFill="1"/>
    <xf numFmtId="0" fontId="0" fillId="19" borderId="0" xfId="0" applyFill="1"/>
    <xf numFmtId="0" fontId="0" fillId="19" borderId="6" xfId="0" applyFill="1" applyBorder="1"/>
    <xf numFmtId="0" fontId="14" fillId="19" borderId="6" xfId="0" applyFont="1" applyFill="1" applyBorder="1" applyAlignment="1">
      <alignment vertical="center"/>
    </xf>
    <xf numFmtId="0" fontId="15" fillId="19" borderId="0" xfId="0" applyFont="1" applyFill="1"/>
    <xf numFmtId="0" fontId="3" fillId="19" borderId="0" xfId="0" applyFont="1" applyFill="1"/>
    <xf numFmtId="0" fontId="1" fillId="19" borderId="0" xfId="0" applyFont="1" applyFill="1" applyAlignment="1">
      <alignment horizontal="center"/>
    </xf>
    <xf numFmtId="0" fontId="12" fillId="20" borderId="21" xfId="0" applyFont="1" applyFill="1" applyBorder="1" applyAlignment="1" applyProtection="1">
      <alignment horizontal="center" vertical="center"/>
      <protection locked="0"/>
    </xf>
    <xf numFmtId="0" fontId="16" fillId="19" borderId="0" xfId="0" applyFont="1" applyFill="1" applyAlignment="1">
      <alignment horizontal="left" vertical="center"/>
    </xf>
    <xf numFmtId="0" fontId="17" fillId="19" borderId="6" xfId="0" applyFont="1" applyFill="1" applyBorder="1" applyProtection="1">
      <protection hidden="1"/>
    </xf>
    <xf numFmtId="0" fontId="18" fillId="19" borderId="0" xfId="0" applyFont="1" applyFill="1" applyAlignment="1">
      <alignment horizontal="left"/>
    </xf>
    <xf numFmtId="0" fontId="0" fillId="19" borderId="14" xfId="0" applyFill="1" applyBorder="1"/>
    <xf numFmtId="0" fontId="0" fillId="19" borderId="10" xfId="0" applyFill="1" applyBorder="1"/>
    <xf numFmtId="0" fontId="3" fillId="19" borderId="10" xfId="0" applyFont="1" applyFill="1" applyBorder="1"/>
    <xf numFmtId="0" fontId="1" fillId="19" borderId="10" xfId="0" applyFont="1" applyFill="1" applyBorder="1" applyAlignment="1">
      <alignment horizontal="center"/>
    </xf>
    <xf numFmtId="0" fontId="19" fillId="19" borderId="10" xfId="0" applyFont="1" applyFill="1" applyBorder="1"/>
    <xf numFmtId="0" fontId="0" fillId="19" borderId="15" xfId="0" applyFill="1" applyBorder="1"/>
    <xf numFmtId="0" fontId="19" fillId="19" borderId="0" xfId="0" applyFont="1" applyFill="1"/>
    <xf numFmtId="0" fontId="1" fillId="19" borderId="0" xfId="0" applyFont="1" applyFill="1" applyAlignment="1">
      <alignment horizontal="centerContinuous"/>
    </xf>
    <xf numFmtId="0" fontId="19" fillId="19" borderId="0" xfId="0" applyFont="1" applyFill="1" applyAlignment="1">
      <alignment horizontal="centerContinuous"/>
    </xf>
    <xf numFmtId="0" fontId="1" fillId="19" borderId="6" xfId="0" applyFont="1" applyFill="1" applyBorder="1" applyAlignment="1">
      <alignment horizontal="center"/>
    </xf>
    <xf numFmtId="0" fontId="0" fillId="19" borderId="0" xfId="0" applyFill="1" applyAlignment="1">
      <alignment horizontal="centerContinuous"/>
    </xf>
    <xf numFmtId="0" fontId="15" fillId="19" borderId="0" xfId="0" applyFont="1" applyFill="1" applyAlignment="1">
      <alignment vertical="center"/>
    </xf>
    <xf numFmtId="0" fontId="1" fillId="19" borderId="0" xfId="0" applyFont="1" applyFill="1" applyAlignment="1">
      <alignment horizontal="center" vertical="center"/>
    </xf>
    <xf numFmtId="14" fontId="16" fillId="20" borderId="22" xfId="0" applyNumberFormat="1" applyFont="1" applyFill="1" applyBorder="1" applyAlignment="1" applyProtection="1">
      <alignment horizontal="center" vertical="center"/>
      <protection locked="0"/>
    </xf>
    <xf numFmtId="0" fontId="20" fillId="20" borderId="21" xfId="0" applyFont="1" applyFill="1" applyBorder="1" applyAlignment="1" applyProtection="1">
      <alignment horizontal="center" vertical="center"/>
      <protection locked="0"/>
    </xf>
    <xf numFmtId="0" fontId="1" fillId="19" borderId="0" xfId="0" applyFont="1" applyFill="1" applyAlignment="1">
      <alignment horizontal="right" vertical="center"/>
    </xf>
    <xf numFmtId="0" fontId="0" fillId="19" borderId="0" xfId="0" applyFill="1" applyAlignment="1">
      <alignment vertical="center"/>
    </xf>
    <xf numFmtId="0" fontId="0" fillId="19" borderId="6" xfId="0" applyFill="1" applyBorder="1" applyAlignment="1">
      <alignment vertical="center"/>
    </xf>
    <xf numFmtId="14" fontId="21" fillId="19" borderId="0" xfId="0" applyNumberFormat="1" applyFont="1" applyFill="1" applyAlignment="1" applyProtection="1">
      <alignment horizontal="center" vertical="center"/>
      <protection hidden="1"/>
    </xf>
    <xf numFmtId="0" fontId="20" fillId="19" borderId="6" xfId="0" applyFont="1" applyFill="1" applyBorder="1" applyAlignment="1" applyProtection="1">
      <alignment horizontal="center" vertical="center"/>
      <protection locked="0"/>
    </xf>
    <xf numFmtId="0" fontId="20" fillId="19" borderId="0" xfId="0" applyFont="1" applyFill="1" applyAlignment="1" applyProtection="1">
      <alignment horizontal="center" vertical="center"/>
      <protection locked="0"/>
    </xf>
    <xf numFmtId="0" fontId="15" fillId="19" borderId="10" xfId="0" applyFont="1" applyFill="1" applyBorder="1" applyAlignment="1">
      <alignment vertical="center"/>
    </xf>
    <xf numFmtId="0" fontId="1" fillId="19" borderId="10" xfId="0" applyFont="1" applyFill="1" applyBorder="1" applyAlignment="1">
      <alignment horizontal="center" vertical="center"/>
    </xf>
    <xf numFmtId="14" fontId="21" fillId="19" borderId="10" xfId="0" applyNumberFormat="1" applyFont="1" applyFill="1" applyBorder="1" applyAlignment="1">
      <alignment horizontal="center" vertical="center"/>
    </xf>
    <xf numFmtId="0" fontId="20" fillId="19" borderId="10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horizontal="right" vertical="center"/>
    </xf>
    <xf numFmtId="0" fontId="20" fillId="19" borderId="15" xfId="0" applyFont="1" applyFill="1" applyBorder="1" applyAlignment="1">
      <alignment horizontal="center" vertical="center"/>
    </xf>
    <xf numFmtId="0" fontId="20" fillId="19" borderId="0" xfId="0" applyFont="1" applyFill="1" applyAlignment="1">
      <alignment horizontal="center" vertical="center"/>
    </xf>
    <xf numFmtId="0" fontId="22" fillId="19" borderId="6" xfId="0" applyFont="1" applyFill="1" applyBorder="1" applyProtection="1">
      <protection hidden="1"/>
    </xf>
    <xf numFmtId="0" fontId="20" fillId="19" borderId="0" xfId="0" applyFont="1" applyFill="1" applyAlignment="1">
      <alignment horizontal="center"/>
    </xf>
    <xf numFmtId="0" fontId="3" fillId="19" borderId="6" xfId="0" applyFont="1" applyFill="1" applyBorder="1" applyProtection="1">
      <protection hidden="1"/>
    </xf>
    <xf numFmtId="164" fontId="26" fillId="19" borderId="6" xfId="0" applyNumberFormat="1" applyFont="1" applyFill="1" applyBorder="1" applyAlignment="1" applyProtection="1">
      <alignment horizontal="center" vertical="center"/>
      <protection hidden="1"/>
    </xf>
    <xf numFmtId="164" fontId="26" fillId="19" borderId="0" xfId="0" applyNumberFormat="1" applyFont="1" applyFill="1" applyAlignment="1" applyProtection="1">
      <alignment horizontal="center" vertical="center"/>
      <protection hidden="1"/>
    </xf>
    <xf numFmtId="164" fontId="26" fillId="19" borderId="10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27" fillId="8" borderId="2" xfId="0" applyFont="1" applyFill="1" applyBorder="1"/>
    <xf numFmtId="0" fontId="28" fillId="8" borderId="2" xfId="0" applyFont="1" applyFill="1" applyBorder="1" applyAlignment="1">
      <alignment horizontal="center"/>
    </xf>
    <xf numFmtId="0" fontId="28" fillId="8" borderId="3" xfId="0" applyFont="1" applyFill="1" applyBorder="1" applyAlignment="1" applyProtection="1">
      <alignment horizontal="left"/>
      <protection hidden="1"/>
    </xf>
    <xf numFmtId="0" fontId="0" fillId="18" borderId="0" xfId="0" applyFill="1"/>
    <xf numFmtId="0" fontId="3" fillId="8" borderId="4" xfId="0" applyFont="1" applyFill="1" applyBorder="1"/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28" fillId="8" borderId="6" xfId="0" applyFont="1" applyFill="1" applyBorder="1" applyAlignment="1" applyProtection="1">
      <alignment horizontal="left"/>
      <protection hidden="1"/>
    </xf>
    <xf numFmtId="0" fontId="29" fillId="18" borderId="0" xfId="0" applyFont="1" applyFill="1"/>
    <xf numFmtId="0" fontId="30" fillId="18" borderId="0" xfId="0" applyFont="1" applyFill="1"/>
    <xf numFmtId="0" fontId="3" fillId="8" borderId="14" xfId="0" applyFont="1" applyFill="1" applyBorder="1"/>
    <xf numFmtId="0" fontId="27" fillId="8" borderId="10" xfId="0" applyFont="1" applyFill="1" applyBorder="1"/>
    <xf numFmtId="0" fontId="28" fillId="8" borderId="10" xfId="0" applyFont="1" applyFill="1" applyBorder="1" applyAlignment="1">
      <alignment horizontal="center"/>
    </xf>
    <xf numFmtId="0" fontId="28" fillId="8" borderId="15" xfId="0" applyFont="1" applyFill="1" applyBorder="1" applyAlignment="1" applyProtection="1">
      <alignment horizontal="left"/>
      <protection hidden="1"/>
    </xf>
    <xf numFmtId="0" fontId="32" fillId="18" borderId="0" xfId="1" applyFont="1" applyFill="1" applyAlignment="1" applyProtection="1"/>
    <xf numFmtId="0" fontId="0" fillId="18" borderId="23" xfId="0" applyFill="1" applyBorder="1"/>
    <xf numFmtId="0" fontId="0" fillId="18" borderId="24" xfId="0" applyFill="1" applyBorder="1"/>
    <xf numFmtId="0" fontId="0" fillId="18" borderId="25" xfId="0" applyFill="1" applyBorder="1"/>
    <xf numFmtId="0" fontId="1" fillId="0" borderId="0" xfId="0" applyFont="1"/>
    <xf numFmtId="0" fontId="11" fillId="19" borderId="1" xfId="0" applyFont="1" applyFill="1" applyBorder="1" applyAlignment="1">
      <alignment vertical="center"/>
    </xf>
    <xf numFmtId="0" fontId="11" fillId="19" borderId="3" xfId="0" applyFont="1" applyFill="1" applyBorder="1" applyAlignment="1">
      <alignment vertical="center"/>
    </xf>
    <xf numFmtId="0" fontId="34" fillId="18" borderId="18" xfId="0" applyFont="1" applyFill="1" applyBorder="1" applyAlignment="1">
      <alignment vertical="center"/>
    </xf>
    <xf numFmtId="14" fontId="34" fillId="18" borderId="17" xfId="0" applyNumberFormat="1" applyFont="1" applyFill="1" applyBorder="1" applyAlignment="1">
      <alignment vertical="center"/>
    </xf>
    <xf numFmtId="2" fontId="4" fillId="21" borderId="9" xfId="0" applyNumberFormat="1" applyFont="1" applyFill="1" applyBorder="1" applyAlignment="1" applyProtection="1">
      <alignment horizontal="center" vertical="center"/>
      <protection hidden="1"/>
    </xf>
    <xf numFmtId="1" fontId="30" fillId="18" borderId="0" xfId="0" applyNumberFormat="1" applyFont="1" applyFill="1"/>
    <xf numFmtId="0" fontId="0" fillId="3" borderId="0" xfId="0" applyFill="1" applyAlignment="1">
      <alignment horizontal="right"/>
    </xf>
    <xf numFmtId="0" fontId="48" fillId="23" borderId="0" xfId="0" applyFont="1" applyFill="1" applyAlignment="1">
      <alignment vertical="center"/>
    </xf>
    <xf numFmtId="0" fontId="0" fillId="23" borderId="0" xfId="0" applyFill="1"/>
    <xf numFmtId="0" fontId="0" fillId="3" borderId="0" xfId="0" applyFill="1"/>
    <xf numFmtId="0" fontId="50" fillId="3" borderId="0" xfId="0" applyFont="1" applyFill="1"/>
    <xf numFmtId="0" fontId="0" fillId="13" borderId="0" xfId="0" applyFill="1" applyAlignment="1">
      <alignment vertical="center"/>
    </xf>
    <xf numFmtId="0" fontId="0" fillId="13" borderId="0" xfId="0" applyFill="1"/>
    <xf numFmtId="0" fontId="51" fillId="3" borderId="0" xfId="0" applyFont="1" applyFill="1"/>
    <xf numFmtId="0" fontId="52" fillId="3" borderId="0" xfId="0" applyFont="1" applyFill="1"/>
    <xf numFmtId="0" fontId="51" fillId="24" borderId="35" xfId="0" applyFont="1" applyFill="1" applyBorder="1"/>
    <xf numFmtId="0" fontId="51" fillId="24" borderId="32" xfId="0" applyFont="1" applyFill="1" applyBorder="1"/>
    <xf numFmtId="0" fontId="51" fillId="25" borderId="27" xfId="0" applyFont="1" applyFill="1" applyBorder="1"/>
    <xf numFmtId="1" fontId="53" fillId="25" borderId="40" xfId="0" applyNumberFormat="1" applyFont="1" applyFill="1" applyBorder="1" applyAlignment="1" applyProtection="1">
      <alignment horizontal="center" vertical="center"/>
      <protection hidden="1"/>
    </xf>
    <xf numFmtId="0" fontId="51" fillId="25" borderId="31" xfId="0" applyFont="1" applyFill="1" applyBorder="1"/>
    <xf numFmtId="1" fontId="53" fillId="25" borderId="29" xfId="0" applyNumberFormat="1" applyFont="1" applyFill="1" applyBorder="1" applyAlignment="1" applyProtection="1">
      <alignment horizontal="center" vertical="center"/>
      <protection hidden="1"/>
    </xf>
    <xf numFmtId="0" fontId="51" fillId="25" borderId="28" xfId="0" applyFont="1" applyFill="1" applyBorder="1"/>
    <xf numFmtId="1" fontId="53" fillId="25" borderId="41" xfId="0" applyNumberFormat="1" applyFont="1" applyFill="1" applyBorder="1" applyAlignment="1" applyProtection="1">
      <alignment horizontal="center" vertical="center"/>
      <protection hidden="1"/>
    </xf>
    <xf numFmtId="0" fontId="51" fillId="25" borderId="30" xfId="0" applyFont="1" applyFill="1" applyBorder="1"/>
    <xf numFmtId="0" fontId="51" fillId="25" borderId="44" xfId="0" applyFont="1" applyFill="1" applyBorder="1"/>
    <xf numFmtId="0" fontId="55" fillId="3" borderId="0" xfId="0" applyFont="1" applyFill="1"/>
    <xf numFmtId="0" fontId="56" fillId="3" borderId="0" xfId="0" applyFont="1" applyFill="1"/>
    <xf numFmtId="0" fontId="51" fillId="24" borderId="16" xfId="0" applyFont="1" applyFill="1" applyBorder="1"/>
    <xf numFmtId="0" fontId="51" fillId="24" borderId="36" xfId="0" applyFont="1" applyFill="1" applyBorder="1" applyAlignment="1">
      <alignment horizontal="center"/>
    </xf>
    <xf numFmtId="0" fontId="51" fillId="24" borderId="23" xfId="0" applyFont="1" applyFill="1" applyBorder="1"/>
    <xf numFmtId="0" fontId="51" fillId="24" borderId="38" xfId="0" applyFont="1" applyFill="1" applyBorder="1" applyAlignment="1">
      <alignment horizontal="center"/>
    </xf>
    <xf numFmtId="0" fontId="51" fillId="24" borderId="33" xfId="0" applyFont="1" applyFill="1" applyBorder="1" applyAlignment="1">
      <alignment horizontal="center" vertical="center"/>
    </xf>
    <xf numFmtId="0" fontId="57" fillId="24" borderId="38" xfId="0" applyFont="1" applyFill="1" applyBorder="1"/>
    <xf numFmtId="0" fontId="51" fillId="16" borderId="47" xfId="0" applyFont="1" applyFill="1" applyBorder="1"/>
    <xf numFmtId="164" fontId="0" fillId="25" borderId="47" xfId="0" applyNumberFormat="1" applyFill="1" applyBorder="1" applyAlignment="1">
      <alignment horizontal="center"/>
    </xf>
    <xf numFmtId="0" fontId="51" fillId="13" borderId="47" xfId="0" applyFont="1" applyFill="1" applyBorder="1" applyProtection="1">
      <protection hidden="1"/>
    </xf>
    <xf numFmtId="1" fontId="54" fillId="25" borderId="45" xfId="0" applyNumberFormat="1" applyFont="1" applyFill="1" applyBorder="1" applyAlignment="1" applyProtection="1">
      <alignment horizontal="right"/>
      <protection hidden="1"/>
    </xf>
    <xf numFmtId="0" fontId="51" fillId="13" borderId="45" xfId="0" applyFont="1" applyFill="1" applyBorder="1"/>
    <xf numFmtId="1" fontId="53" fillId="25" borderId="40" xfId="0" applyNumberFormat="1" applyFont="1" applyFill="1" applyBorder="1" applyAlignment="1" applyProtection="1">
      <alignment horizontal="center"/>
      <protection hidden="1"/>
    </xf>
    <xf numFmtId="0" fontId="51" fillId="16" borderId="7" xfId="0" applyFont="1" applyFill="1" applyBorder="1"/>
    <xf numFmtId="164" fontId="0" fillId="25" borderId="7" xfId="0" applyNumberFormat="1" applyFill="1" applyBorder="1" applyAlignment="1">
      <alignment horizontal="center"/>
    </xf>
    <xf numFmtId="0" fontId="51" fillId="13" borderId="7" xfId="0" applyFont="1" applyFill="1" applyBorder="1" applyProtection="1">
      <protection hidden="1"/>
    </xf>
    <xf numFmtId="1" fontId="54" fillId="25" borderId="8" xfId="0" applyNumberFormat="1" applyFont="1" applyFill="1" applyBorder="1" applyAlignment="1" applyProtection="1">
      <alignment horizontal="right"/>
      <protection hidden="1"/>
    </xf>
    <xf numFmtId="0" fontId="51" fillId="13" borderId="8" xfId="0" applyFont="1" applyFill="1" applyBorder="1"/>
    <xf numFmtId="1" fontId="53" fillId="25" borderId="29" xfId="0" applyNumberFormat="1" applyFont="1" applyFill="1" applyBorder="1" applyAlignment="1" applyProtection="1">
      <alignment horizontal="center"/>
      <protection hidden="1"/>
    </xf>
    <xf numFmtId="0" fontId="51" fillId="26" borderId="28" xfId="0" applyFont="1" applyFill="1" applyBorder="1"/>
    <xf numFmtId="164" fontId="0" fillId="26" borderId="7" xfId="0" applyNumberFormat="1" applyFill="1" applyBorder="1" applyAlignment="1">
      <alignment horizontal="center"/>
    </xf>
    <xf numFmtId="1" fontId="54" fillId="26" borderId="8" xfId="0" applyNumberFormat="1" applyFont="1" applyFill="1" applyBorder="1" applyAlignment="1" applyProtection="1">
      <alignment horizontal="right"/>
      <protection hidden="1"/>
    </xf>
    <xf numFmtId="1" fontId="53" fillId="26" borderId="29" xfId="0" applyNumberFormat="1" applyFont="1" applyFill="1" applyBorder="1" applyAlignment="1" applyProtection="1">
      <alignment horizontal="center"/>
      <protection hidden="1"/>
    </xf>
    <xf numFmtId="0" fontId="51" fillId="26" borderId="44" xfId="0" applyFont="1" applyFill="1" applyBorder="1"/>
    <xf numFmtId="0" fontId="51" fillId="27" borderId="33" xfId="0" applyFont="1" applyFill="1" applyBorder="1"/>
    <xf numFmtId="164" fontId="0" fillId="26" borderId="33" xfId="0" applyNumberFormat="1" applyFill="1" applyBorder="1" applyAlignment="1">
      <alignment horizontal="center"/>
    </xf>
    <xf numFmtId="0" fontId="51" fillId="13" borderId="33" xfId="0" applyFont="1" applyFill="1" applyBorder="1" applyProtection="1">
      <protection hidden="1"/>
    </xf>
    <xf numFmtId="1" fontId="54" fillId="26" borderId="48" xfId="0" applyNumberFormat="1" applyFont="1" applyFill="1" applyBorder="1" applyAlignment="1" applyProtection="1">
      <alignment horizontal="right"/>
      <protection hidden="1"/>
    </xf>
    <xf numFmtId="0" fontId="51" fillId="13" borderId="48" xfId="0" applyFont="1" applyFill="1" applyBorder="1"/>
    <xf numFmtId="1" fontId="53" fillId="26" borderId="34" xfId="0" applyNumberFormat="1" applyFont="1" applyFill="1" applyBorder="1" applyAlignment="1" applyProtection="1">
      <alignment horizontal="center"/>
      <protection hidden="1"/>
    </xf>
    <xf numFmtId="0" fontId="58" fillId="3" borderId="0" xfId="0" applyFont="1" applyFill="1"/>
    <xf numFmtId="0" fontId="59" fillId="3" borderId="0" xfId="0" applyFont="1" applyFill="1"/>
    <xf numFmtId="0" fontId="61" fillId="3" borderId="0" xfId="1" applyFont="1" applyFill="1" applyAlignment="1" applyProtection="1"/>
    <xf numFmtId="1" fontId="54" fillId="25" borderId="47" xfId="0" applyNumberFormat="1" applyFont="1" applyFill="1" applyBorder="1" applyAlignment="1" applyProtection="1">
      <alignment horizontal="right"/>
      <protection hidden="1"/>
    </xf>
    <xf numFmtId="1" fontId="54" fillId="25" borderId="7" xfId="0" applyNumberFormat="1" applyFont="1" applyFill="1" applyBorder="1" applyAlignment="1" applyProtection="1">
      <alignment horizontal="right"/>
      <protection hidden="1"/>
    </xf>
    <xf numFmtId="1" fontId="54" fillId="26" borderId="7" xfId="0" applyNumberFormat="1" applyFont="1" applyFill="1" applyBorder="1" applyAlignment="1" applyProtection="1">
      <alignment horizontal="right"/>
      <protection hidden="1"/>
    </xf>
    <xf numFmtId="0" fontId="62" fillId="25" borderId="31" xfId="0" applyFont="1" applyFill="1" applyBorder="1"/>
    <xf numFmtId="0" fontId="51" fillId="24" borderId="19" xfId="0" applyFont="1" applyFill="1" applyBorder="1"/>
    <xf numFmtId="0" fontId="51" fillId="24" borderId="13" xfId="0" applyFont="1" applyFill="1" applyBorder="1" applyAlignment="1">
      <alignment horizontal="center"/>
    </xf>
    <xf numFmtId="0" fontId="51" fillId="28" borderId="47" xfId="0" applyFont="1" applyFill="1" applyBorder="1" applyProtection="1">
      <protection hidden="1"/>
    </xf>
    <xf numFmtId="0" fontId="51" fillId="28" borderId="7" xfId="0" applyFont="1" applyFill="1" applyBorder="1" applyProtection="1">
      <protection hidden="1"/>
    </xf>
    <xf numFmtId="0" fontId="51" fillId="28" borderId="7" xfId="0" applyFont="1" applyFill="1" applyBorder="1" applyAlignment="1">
      <alignment horizontal="center" vertical="center"/>
    </xf>
    <xf numFmtId="0" fontId="0" fillId="25" borderId="7" xfId="0" applyFill="1" applyBorder="1" applyAlignment="1">
      <alignment horizontal="center" vertical="center"/>
    </xf>
    <xf numFmtId="0" fontId="54" fillId="25" borderId="7" xfId="0" applyFont="1" applyFill="1" applyBorder="1" applyAlignment="1" applyProtection="1">
      <alignment horizontal="center" vertical="center"/>
      <protection hidden="1"/>
    </xf>
    <xf numFmtId="1" fontId="53" fillId="25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0" fontId="3" fillId="15" borderId="0" xfId="0" applyFont="1" applyFill="1"/>
    <xf numFmtId="0" fontId="0" fillId="15" borderId="1" xfId="0" applyFill="1" applyBorder="1" applyAlignment="1">
      <alignment horizontal="right"/>
    </xf>
    <xf numFmtId="0" fontId="0" fillId="13" borderId="2" xfId="0" applyFill="1" applyBorder="1"/>
    <xf numFmtId="0" fontId="0" fillId="3" borderId="2" xfId="0" applyFill="1" applyBorder="1"/>
    <xf numFmtId="0" fontId="0" fillId="15" borderId="4" xfId="0" applyFill="1" applyBorder="1" applyAlignment="1">
      <alignment horizontal="right"/>
    </xf>
    <xf numFmtId="0" fontId="0" fillId="15" borderId="4" xfId="0" applyFill="1" applyBorder="1"/>
    <xf numFmtId="0" fontId="0" fillId="15" borderId="0" xfId="0" applyFill="1"/>
    <xf numFmtId="0" fontId="0" fillId="15" borderId="6" xfId="0" applyFill="1" applyBorder="1"/>
    <xf numFmtId="0" fontId="3" fillId="15" borderId="6" xfId="0" applyFont="1" applyFill="1" applyBorder="1"/>
    <xf numFmtId="0" fontId="0" fillId="15" borderId="14" xfId="0" applyFill="1" applyBorder="1"/>
    <xf numFmtId="2" fontId="3" fillId="12" borderId="7" xfId="0" applyNumberFormat="1" applyFont="1" applyFill="1" applyBorder="1" applyAlignment="1" applyProtection="1">
      <alignment horizontal="center"/>
      <protection hidden="1"/>
    </xf>
    <xf numFmtId="0" fontId="3" fillId="15" borderId="0" xfId="0" applyFont="1" applyFill="1" applyAlignment="1">
      <alignment horizontal="center"/>
    </xf>
    <xf numFmtId="166" fontId="1" fillId="15" borderId="0" xfId="0" applyNumberFormat="1" applyFont="1" applyFill="1" applyAlignment="1">
      <alignment horizontal="center"/>
    </xf>
    <xf numFmtId="0" fontId="3" fillId="13" borderId="2" xfId="0" applyFont="1" applyFill="1" applyBorder="1" applyAlignment="1">
      <alignment vertical="center"/>
    </xf>
    <xf numFmtId="0" fontId="62" fillId="24" borderId="35" xfId="0" applyFont="1" applyFill="1" applyBorder="1"/>
    <xf numFmtId="0" fontId="65" fillId="3" borderId="0" xfId="0" applyFont="1" applyFill="1"/>
    <xf numFmtId="0" fontId="3" fillId="3" borderId="0" xfId="0" applyFont="1" applyFill="1"/>
    <xf numFmtId="0" fontId="66" fillId="3" borderId="0" xfId="0" applyFont="1" applyFill="1"/>
    <xf numFmtId="0" fontId="67" fillId="3" borderId="0" xfId="0" applyFont="1" applyFill="1"/>
    <xf numFmtId="2" fontId="3" fillId="15" borderId="0" xfId="0" applyNumberFormat="1" applyFont="1" applyFill="1"/>
    <xf numFmtId="0" fontId="3" fillId="15" borderId="12" xfId="0" applyFont="1" applyFill="1" applyBorder="1"/>
    <xf numFmtId="2" fontId="3" fillId="15" borderId="12" xfId="0" applyNumberFormat="1" applyFont="1" applyFill="1" applyBorder="1"/>
    <xf numFmtId="166" fontId="3" fillId="15" borderId="12" xfId="0" applyNumberFormat="1" applyFont="1" applyFill="1" applyBorder="1"/>
    <xf numFmtId="0" fontId="69" fillId="0" borderId="0" xfId="0" applyFont="1"/>
    <xf numFmtId="1" fontId="1" fillId="29" borderId="7" xfId="0" applyNumberFormat="1" applyFont="1" applyFill="1" applyBorder="1" applyProtection="1">
      <protection hidden="1"/>
    </xf>
    <xf numFmtId="0" fontId="65" fillId="25" borderId="27" xfId="0" applyFont="1" applyFill="1" applyBorder="1"/>
    <xf numFmtId="0" fontId="65" fillId="25" borderId="28" xfId="0" applyFont="1" applyFill="1" applyBorder="1"/>
    <xf numFmtId="0" fontId="65" fillId="26" borderId="28" xfId="0" applyFont="1" applyFill="1" applyBorder="1"/>
    <xf numFmtId="0" fontId="46" fillId="7" borderId="7" xfId="0" applyFont="1" applyFill="1" applyBorder="1" applyAlignment="1">
      <alignment horizontal="center"/>
    </xf>
    <xf numFmtId="164" fontId="3" fillId="12" borderId="7" xfId="0" applyNumberFormat="1" applyFont="1" applyFill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 applyProtection="1">
      <alignment horizontal="center" vertical="center"/>
      <protection locked="0"/>
    </xf>
    <xf numFmtId="0" fontId="30" fillId="30" borderId="7" xfId="0" applyFont="1" applyFill="1" applyBorder="1" applyAlignment="1" applyProtection="1">
      <alignment horizontal="center"/>
      <protection hidden="1"/>
    </xf>
    <xf numFmtId="0" fontId="41" fillId="30" borderId="7" xfId="0" applyFont="1" applyFill="1" applyBorder="1" applyAlignment="1" applyProtection="1">
      <alignment horizontal="center" vertical="center" wrapText="1"/>
      <protection hidden="1"/>
    </xf>
    <xf numFmtId="0" fontId="3" fillId="30" borderId="7" xfId="0" applyFont="1" applyFill="1" applyBorder="1" applyAlignment="1" applyProtection="1">
      <alignment horizontal="center" vertical="center" wrapText="1"/>
      <protection hidden="1"/>
    </xf>
    <xf numFmtId="0" fontId="42" fillId="30" borderId="7" xfId="0" applyFont="1" applyFill="1" applyBorder="1" applyAlignment="1" applyProtection="1">
      <alignment horizontal="center" vertical="center" wrapText="1"/>
      <protection hidden="1"/>
    </xf>
    <xf numFmtId="0" fontId="43" fillId="30" borderId="7" xfId="0" applyFont="1" applyFill="1" applyBorder="1" applyAlignment="1" applyProtection="1">
      <alignment horizontal="center" vertical="center" wrapText="1"/>
      <protection hidden="1"/>
    </xf>
    <xf numFmtId="0" fontId="43" fillId="30" borderId="7" xfId="0" applyFont="1" applyFill="1" applyBorder="1" applyAlignment="1" applyProtection="1">
      <alignment horizontal="center" vertical="center"/>
      <protection hidden="1"/>
    </xf>
    <xf numFmtId="49" fontId="43" fillId="30" borderId="7" xfId="0" applyNumberFormat="1" applyFont="1" applyFill="1" applyBorder="1" applyAlignment="1" applyProtection="1">
      <alignment horizontal="center" vertical="center"/>
      <protection hidden="1"/>
    </xf>
    <xf numFmtId="0" fontId="43" fillId="30" borderId="11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>
      <alignment horizontal="center" vertical="distributed" wrapText="1"/>
    </xf>
    <xf numFmtId="0" fontId="70" fillId="0" borderId="7" xfId="0" applyFont="1" applyBorder="1" applyAlignment="1">
      <alignment horizontal="center" vertical="center" wrapText="1"/>
    </xf>
    <xf numFmtId="0" fontId="70" fillId="0" borderId="7" xfId="0" applyFont="1" applyBorder="1" applyAlignment="1" applyProtection="1">
      <alignment horizontal="center" vertical="distributed" wrapText="1"/>
      <protection hidden="1"/>
    </xf>
    <xf numFmtId="10" fontId="3" fillId="31" borderId="7" xfId="0" applyNumberFormat="1" applyFont="1" applyFill="1" applyBorder="1" applyAlignment="1" applyProtection="1">
      <alignment horizontal="center"/>
      <protection hidden="1"/>
    </xf>
    <xf numFmtId="10" fontId="3" fillId="20" borderId="7" xfId="0" applyNumberFormat="1" applyFont="1" applyFill="1" applyBorder="1" applyAlignment="1" applyProtection="1">
      <alignment horizontal="center"/>
      <protection hidden="1"/>
    </xf>
    <xf numFmtId="10" fontId="3" fillId="30" borderId="7" xfId="0" applyNumberFormat="1" applyFont="1" applyFill="1" applyBorder="1" applyAlignment="1" applyProtection="1">
      <alignment horizontal="center"/>
      <protection hidden="1"/>
    </xf>
    <xf numFmtId="14" fontId="1" fillId="31" borderId="7" xfId="0" applyNumberFormat="1" applyFont="1" applyFill="1" applyBorder="1" applyAlignment="1">
      <alignment horizontal="center"/>
    </xf>
    <xf numFmtId="14" fontId="1" fillId="20" borderId="7" xfId="0" applyNumberFormat="1" applyFont="1" applyFill="1" applyBorder="1" applyAlignment="1">
      <alignment horizontal="center"/>
    </xf>
    <xf numFmtId="2" fontId="71" fillId="31" borderId="7" xfId="0" applyNumberFormat="1" applyFont="1" applyFill="1" applyBorder="1" applyAlignment="1" applyProtection="1">
      <alignment horizontal="center"/>
      <protection hidden="1"/>
    </xf>
    <xf numFmtId="2" fontId="71" fillId="20" borderId="7" xfId="0" applyNumberFormat="1" applyFont="1" applyFill="1" applyBorder="1" applyAlignment="1" applyProtection="1">
      <alignment horizontal="center"/>
      <protection hidden="1"/>
    </xf>
    <xf numFmtId="2" fontId="71" fillId="30" borderId="7" xfId="0" applyNumberFormat="1" applyFont="1" applyFill="1" applyBorder="1" applyAlignment="1" applyProtection="1">
      <alignment horizontal="center"/>
      <protection hidden="1"/>
    </xf>
    <xf numFmtId="14" fontId="3" fillId="28" borderId="52" xfId="0" applyNumberFormat="1" applyFont="1" applyFill="1" applyBorder="1" applyAlignment="1" applyProtection="1">
      <alignment horizontal="center" vertical="center"/>
      <protection locked="0"/>
    </xf>
    <xf numFmtId="0" fontId="3" fillId="30" borderId="7" xfId="0" applyFont="1" applyFill="1" applyBorder="1" applyAlignment="1">
      <alignment horizontal="center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30" borderId="7" xfId="0" applyFont="1" applyFill="1" applyBorder="1" applyAlignment="1" applyProtection="1">
      <alignment horizontal="center" vertical="center"/>
      <protection hidden="1"/>
    </xf>
    <xf numFmtId="49" fontId="0" fillId="9" borderId="7" xfId="0" applyNumberFormat="1" applyFill="1" applyBorder="1" applyAlignment="1" applyProtection="1">
      <alignment horizontal="center" vertical="center"/>
      <protection locked="0"/>
    </xf>
    <xf numFmtId="49" fontId="0" fillId="11" borderId="7" xfId="0" applyNumberFormat="1" applyFill="1" applyBorder="1" applyAlignment="1" applyProtection="1">
      <alignment horizontal="center"/>
      <protection locked="0"/>
    </xf>
    <xf numFmtId="49" fontId="0" fillId="13" borderId="7" xfId="0" applyNumberFormat="1" applyFill="1" applyBorder="1" applyAlignment="1" applyProtection="1">
      <alignment horizontal="center"/>
      <protection locked="0"/>
    </xf>
    <xf numFmtId="49" fontId="0" fillId="14" borderId="7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12" borderId="7" xfId="0" applyNumberFormat="1" applyFill="1" applyBorder="1" applyAlignment="1" applyProtection="1">
      <alignment horizontal="center"/>
      <protection locked="0"/>
    </xf>
    <xf numFmtId="49" fontId="0" fillId="15" borderId="7" xfId="0" applyNumberFormat="1" applyFill="1" applyBorder="1" applyAlignment="1" applyProtection="1">
      <alignment horizontal="center"/>
      <protection locked="0"/>
    </xf>
    <xf numFmtId="0" fontId="39" fillId="19" borderId="1" xfId="0" applyFont="1" applyFill="1" applyBorder="1" applyAlignment="1" applyProtection="1">
      <alignment horizontal="center" vertical="center"/>
      <protection hidden="1"/>
    </xf>
    <xf numFmtId="0" fontId="11" fillId="19" borderId="2" xfId="0" applyFont="1" applyFill="1" applyBorder="1" applyAlignment="1">
      <alignment vertical="center"/>
    </xf>
    <xf numFmtId="10" fontId="30" fillId="19" borderId="4" xfId="0" applyNumberFormat="1" applyFont="1" applyFill="1" applyBorder="1" applyAlignment="1" applyProtection="1">
      <alignment horizontal="center" vertical="center"/>
      <protection hidden="1"/>
    </xf>
    <xf numFmtId="0" fontId="12" fillId="19" borderId="4" xfId="0" applyFont="1" applyFill="1" applyBorder="1" applyAlignment="1">
      <alignment horizontal="center" vertical="center"/>
    </xf>
    <xf numFmtId="167" fontId="0" fillId="20" borderId="7" xfId="0" applyNumberFormat="1" applyFill="1" applyBorder="1" applyAlignment="1" applyProtection="1">
      <alignment horizontal="center" vertical="center"/>
      <protection locked="0"/>
    </xf>
    <xf numFmtId="0" fontId="12" fillId="20" borderId="7" xfId="0" applyFont="1" applyFill="1" applyBorder="1" applyAlignment="1" applyProtection="1">
      <alignment horizontal="center" vertical="center"/>
      <protection locked="0"/>
    </xf>
    <xf numFmtId="0" fontId="17" fillId="19" borderId="6" xfId="0" applyFont="1" applyFill="1" applyBorder="1" applyAlignment="1" applyProtection="1">
      <alignment horizontal="center"/>
      <protection hidden="1"/>
    </xf>
    <xf numFmtId="0" fontId="79" fillId="19" borderId="10" xfId="0" applyFont="1" applyFill="1" applyBorder="1"/>
    <xf numFmtId="0" fontId="13" fillId="18" borderId="1" xfId="0" applyFont="1" applyFill="1" applyBorder="1"/>
    <xf numFmtId="0" fontId="0" fillId="18" borderId="2" xfId="0" applyFill="1" applyBorder="1"/>
    <xf numFmtId="0" fontId="1" fillId="18" borderId="3" xfId="0" applyFont="1" applyFill="1" applyBorder="1" applyAlignment="1">
      <alignment horizontal="center"/>
    </xf>
    <xf numFmtId="0" fontId="1" fillId="19" borderId="4" xfId="0" applyFont="1" applyFill="1" applyBorder="1" applyAlignment="1">
      <alignment horizontal="center"/>
    </xf>
    <xf numFmtId="0" fontId="15" fillId="18" borderId="4" xfId="0" applyFont="1" applyFill="1" applyBorder="1" applyAlignment="1">
      <alignment vertical="center"/>
    </xf>
    <xf numFmtId="0" fontId="1" fillId="18" borderId="0" xfId="0" applyFont="1" applyFill="1" applyAlignment="1">
      <alignment horizontal="center" vertical="center"/>
    </xf>
    <xf numFmtId="168" fontId="82" fillId="20" borderId="7" xfId="0" applyNumberFormat="1" applyFont="1" applyFill="1" applyBorder="1" applyAlignment="1" applyProtection="1">
      <alignment horizontal="center" vertical="center"/>
      <protection locked="0" hidden="1"/>
    </xf>
    <xf numFmtId="0" fontId="20" fillId="20" borderId="7" xfId="0" applyFont="1" applyFill="1" applyBorder="1" applyAlignment="1" applyProtection="1">
      <alignment horizontal="center" vertical="center"/>
      <protection locked="0"/>
    </xf>
    <xf numFmtId="0" fontId="0" fillId="19" borderId="4" xfId="0" applyFill="1" applyBorder="1" applyAlignment="1">
      <alignment vertical="center"/>
    </xf>
    <xf numFmtId="169" fontId="16" fillId="19" borderId="6" xfId="0" applyNumberFormat="1" applyFont="1" applyFill="1" applyBorder="1" applyAlignment="1" applyProtection="1">
      <alignment horizontal="center" vertical="center"/>
      <protection locked="0"/>
    </xf>
    <xf numFmtId="168" fontId="84" fillId="18" borderId="7" xfId="0" applyNumberFormat="1" applyFont="1" applyFill="1" applyBorder="1" applyAlignment="1" applyProtection="1">
      <alignment horizontal="center" vertical="center"/>
      <protection hidden="1"/>
    </xf>
    <xf numFmtId="169" fontId="85" fillId="19" borderId="6" xfId="0" applyNumberFormat="1" applyFont="1" applyFill="1" applyBorder="1" applyAlignment="1" applyProtection="1">
      <alignment horizontal="center" vertical="center"/>
      <protection hidden="1"/>
    </xf>
    <xf numFmtId="0" fontId="15" fillId="18" borderId="14" xfId="0" applyFont="1" applyFill="1" applyBorder="1" applyAlignment="1">
      <alignment vertical="center"/>
    </xf>
    <xf numFmtId="0" fontId="1" fillId="18" borderId="10" xfId="0" applyFont="1" applyFill="1" applyBorder="1" applyAlignment="1">
      <alignment horizontal="center" vertical="center"/>
    </xf>
    <xf numFmtId="0" fontId="20" fillId="19" borderId="4" xfId="0" applyFont="1" applyFill="1" applyBorder="1" applyAlignment="1" applyProtection="1">
      <alignment horizontal="center" vertical="center"/>
      <protection locked="0"/>
    </xf>
    <xf numFmtId="0" fontId="20" fillId="19" borderId="4" xfId="0" applyFont="1" applyFill="1" applyBorder="1" applyAlignment="1">
      <alignment horizontal="center" vertical="center"/>
    </xf>
    <xf numFmtId="0" fontId="20" fillId="19" borderId="4" xfId="0" applyFont="1" applyFill="1" applyBorder="1" applyAlignment="1">
      <alignment horizontal="center"/>
    </xf>
    <xf numFmtId="164" fontId="26" fillId="19" borderId="4" xfId="0" applyNumberFormat="1" applyFont="1" applyFill="1" applyBorder="1" applyAlignment="1" applyProtection="1">
      <alignment horizontal="center" vertical="center"/>
      <protection hidden="1"/>
    </xf>
    <xf numFmtId="164" fontId="78" fillId="19" borderId="6" xfId="0" applyNumberFormat="1" applyFont="1" applyFill="1" applyBorder="1" applyAlignment="1" applyProtection="1">
      <alignment horizontal="center" vertical="center"/>
      <protection hidden="1"/>
    </xf>
    <xf numFmtId="164" fontId="26" fillId="19" borderId="14" xfId="0" applyNumberFormat="1" applyFont="1" applyFill="1" applyBorder="1" applyAlignment="1">
      <alignment horizontal="center"/>
    </xf>
    <xf numFmtId="167" fontId="0" fillId="0" borderId="0" xfId="0" applyNumberFormat="1"/>
    <xf numFmtId="1" fontId="12" fillId="2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0" fontId="1" fillId="19" borderId="0" xfId="0" applyFont="1" applyFill="1" applyAlignment="1" applyProtection="1">
      <alignment horizontal="center"/>
      <protection hidden="1"/>
    </xf>
    <xf numFmtId="14" fontId="21" fillId="19" borderId="0" xfId="0" applyNumberFormat="1" applyFont="1" applyFill="1" applyProtection="1">
      <protection hidden="1"/>
    </xf>
    <xf numFmtId="0" fontId="20" fillId="19" borderId="0" xfId="0" applyFont="1" applyFill="1" applyAlignment="1" applyProtection="1">
      <alignment horizontal="center"/>
      <protection hidden="1"/>
    </xf>
    <xf numFmtId="0" fontId="1" fillId="19" borderId="0" xfId="0" applyFont="1" applyFill="1" applyAlignment="1" applyProtection="1">
      <alignment horizontal="right"/>
      <protection hidden="1"/>
    </xf>
    <xf numFmtId="0" fontId="23" fillId="19" borderId="0" xfId="0" applyFont="1" applyFill="1" applyAlignment="1" applyProtection="1">
      <alignment horizontal="center"/>
      <protection hidden="1"/>
    </xf>
    <xf numFmtId="0" fontId="4" fillId="21" borderId="8" xfId="0" applyFont="1" applyFill="1" applyBorder="1" applyAlignment="1" applyProtection="1">
      <alignment vertical="center"/>
      <protection hidden="1"/>
    </xf>
    <xf numFmtId="0" fontId="76" fillId="19" borderId="10" xfId="0" applyFont="1" applyFill="1" applyBorder="1" applyProtection="1">
      <protection hidden="1"/>
    </xf>
    <xf numFmtId="0" fontId="0" fillId="19" borderId="10" xfId="0" applyFill="1" applyBorder="1" applyProtection="1">
      <protection hidden="1"/>
    </xf>
    <xf numFmtId="0" fontId="25" fillId="19" borderId="10" xfId="0" applyFont="1" applyFill="1" applyBorder="1" applyAlignment="1" applyProtection="1">
      <alignment horizontal="center"/>
      <protection hidden="1"/>
    </xf>
    <xf numFmtId="0" fontId="20" fillId="19" borderId="3" xfId="0" applyFont="1" applyFill="1" applyBorder="1" applyAlignment="1" applyProtection="1">
      <alignment horizontal="center"/>
      <protection hidden="1"/>
    </xf>
    <xf numFmtId="164" fontId="26" fillId="19" borderId="15" xfId="0" applyNumberFormat="1" applyFont="1" applyFill="1" applyBorder="1" applyAlignment="1" applyProtection="1">
      <alignment horizontal="center"/>
      <protection hidden="1"/>
    </xf>
    <xf numFmtId="0" fontId="0" fillId="19" borderId="4" xfId="0" applyFill="1" applyBorder="1" applyProtection="1">
      <protection hidden="1"/>
    </xf>
    <xf numFmtId="0" fontId="0" fillId="19" borderId="14" xfId="0" applyFill="1" applyBorder="1" applyProtection="1">
      <protection hidden="1"/>
    </xf>
    <xf numFmtId="10" fontId="2" fillId="32" borderId="7" xfId="0" applyNumberFormat="1" applyFont="1" applyFill="1" applyBorder="1" applyAlignment="1" applyProtection="1">
      <alignment horizontal="center" vertical="center"/>
      <protection hidden="1"/>
    </xf>
    <xf numFmtId="0" fontId="76" fillId="19" borderId="0" xfId="0" applyFont="1" applyFill="1" applyProtection="1">
      <protection hidden="1"/>
    </xf>
    <xf numFmtId="0" fontId="0" fillId="0" borderId="7" xfId="0" applyBorder="1" applyAlignment="1">
      <alignment horizontal="center" vertical="center" shrinkToFit="1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/>
      <protection locked="0" hidden="1"/>
    </xf>
    <xf numFmtId="0" fontId="9" fillId="0" borderId="8" xfId="0" applyFont="1" applyBorder="1" applyAlignment="1" applyProtection="1">
      <alignment horizontal="right" vertical="center" indent="1"/>
      <protection hidden="1"/>
    </xf>
    <xf numFmtId="0" fontId="9" fillId="0" borderId="9" xfId="0" applyFont="1" applyBorder="1" applyAlignment="1" applyProtection="1">
      <alignment horizontal="right" vertical="center" indent="1"/>
      <protection hidden="1"/>
    </xf>
    <xf numFmtId="0" fontId="8" fillId="5" borderId="0" xfId="0" applyFont="1" applyFill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3" fillId="10" borderId="8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5" borderId="12" xfId="0" applyFont="1" applyFill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7" fillId="5" borderId="12" xfId="1" applyFont="1" applyFill="1" applyBorder="1" applyAlignment="1" applyProtection="1">
      <alignment horizontal="left" vertical="center"/>
    </xf>
    <xf numFmtId="0" fontId="46" fillId="5" borderId="12" xfId="0" applyFont="1" applyFill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2" fontId="0" fillId="17" borderId="8" xfId="0" applyNumberFormat="1" applyFill="1" applyBorder="1" applyAlignment="1" applyProtection="1">
      <alignment horizontal="center"/>
      <protection hidden="1"/>
    </xf>
    <xf numFmtId="2" fontId="0" fillId="17" borderId="12" xfId="0" applyNumberFormat="1" applyFill="1" applyBorder="1" applyAlignment="1" applyProtection="1">
      <alignment horizontal="center"/>
      <protection hidden="1"/>
    </xf>
    <xf numFmtId="2" fontId="0" fillId="17" borderId="9" xfId="0" applyNumberFormat="1" applyFill="1" applyBorder="1" applyAlignment="1" applyProtection="1">
      <alignment horizontal="center"/>
      <protection hidden="1"/>
    </xf>
    <xf numFmtId="0" fontId="3" fillId="30" borderId="7" xfId="0" applyFont="1" applyFill="1" applyBorder="1" applyAlignment="1" applyProtection="1">
      <alignment horizontal="center" vertical="center" wrapText="1"/>
      <protection hidden="1"/>
    </xf>
    <xf numFmtId="0" fontId="3" fillId="30" borderId="8" xfId="0" applyFont="1" applyFill="1" applyBorder="1" applyAlignment="1" applyProtection="1">
      <alignment horizontal="center" vertical="distributed" wrapText="1"/>
      <protection hidden="1"/>
    </xf>
    <xf numFmtId="0" fontId="3" fillId="30" borderId="12" xfId="0" applyFont="1" applyFill="1" applyBorder="1" applyAlignment="1" applyProtection="1">
      <alignment horizontal="center" vertical="distributed" wrapText="1"/>
      <protection hidden="1"/>
    </xf>
    <xf numFmtId="0" fontId="3" fillId="30" borderId="9" xfId="0" applyFont="1" applyFill="1" applyBorder="1" applyAlignment="1" applyProtection="1">
      <alignment horizontal="center" vertical="distributed" wrapText="1"/>
      <protection hidden="1"/>
    </xf>
    <xf numFmtId="0" fontId="43" fillId="30" borderId="5" xfId="0" applyFont="1" applyFill="1" applyBorder="1" applyAlignment="1" applyProtection="1">
      <alignment horizontal="center" vertical="center" wrapText="1"/>
      <protection hidden="1"/>
    </xf>
    <xf numFmtId="0" fontId="43" fillId="30" borderId="11" xfId="0" applyFont="1" applyFill="1" applyBorder="1" applyAlignment="1" applyProtection="1">
      <alignment horizontal="center" vertical="center" wrapText="1"/>
      <protection hidden="1"/>
    </xf>
    <xf numFmtId="0" fontId="3" fillId="30" borderId="1" xfId="0" applyFont="1" applyFill="1" applyBorder="1" applyAlignment="1" applyProtection="1">
      <alignment horizontal="center" vertical="distributed"/>
      <protection hidden="1"/>
    </xf>
    <xf numFmtId="0" fontId="3" fillId="30" borderId="2" xfId="0" applyFont="1" applyFill="1" applyBorder="1" applyAlignment="1" applyProtection="1">
      <alignment horizontal="center" vertical="distributed"/>
      <protection hidden="1"/>
    </xf>
    <xf numFmtId="0" fontId="3" fillId="30" borderId="3" xfId="0" applyFont="1" applyFill="1" applyBorder="1" applyAlignment="1" applyProtection="1">
      <alignment horizontal="center" vertical="distributed"/>
      <protection hidden="1"/>
    </xf>
    <xf numFmtId="0" fontId="3" fillId="30" borderId="14" xfId="0" applyFont="1" applyFill="1" applyBorder="1" applyAlignment="1" applyProtection="1">
      <alignment horizontal="center" vertical="distributed"/>
      <protection hidden="1"/>
    </xf>
    <xf numFmtId="0" fontId="3" fillId="30" borderId="10" xfId="0" applyFont="1" applyFill="1" applyBorder="1" applyAlignment="1" applyProtection="1">
      <alignment horizontal="center" vertical="distributed"/>
      <protection hidden="1"/>
    </xf>
    <xf numFmtId="0" fontId="3" fillId="30" borderId="15" xfId="0" applyFont="1" applyFill="1" applyBorder="1" applyAlignment="1" applyProtection="1">
      <alignment horizontal="center" vertical="distributed"/>
      <protection hidden="1"/>
    </xf>
    <xf numFmtId="0" fontId="3" fillId="30" borderId="8" xfId="0" applyFont="1" applyFill="1" applyBorder="1" applyAlignment="1" applyProtection="1">
      <alignment horizontal="center" vertical="center" wrapText="1"/>
      <protection hidden="1"/>
    </xf>
    <xf numFmtId="0" fontId="3" fillId="30" borderId="12" xfId="0" applyFont="1" applyFill="1" applyBorder="1" applyAlignment="1" applyProtection="1">
      <alignment horizontal="center" vertical="center" wrapText="1"/>
      <protection hidden="1"/>
    </xf>
    <xf numFmtId="0" fontId="3" fillId="30" borderId="9" xfId="0" applyFont="1" applyFill="1" applyBorder="1" applyAlignment="1" applyProtection="1">
      <alignment horizontal="center" vertical="center" wrapText="1"/>
      <protection hidden="1"/>
    </xf>
    <xf numFmtId="49" fontId="0" fillId="0" borderId="7" xfId="0" applyNumberFormat="1" applyBorder="1" applyAlignment="1" applyProtection="1">
      <alignment horizontal="left" vertical="center"/>
      <protection locked="0"/>
    </xf>
    <xf numFmtId="0" fontId="30" fillId="30" borderId="1" xfId="0" applyFont="1" applyFill="1" applyBorder="1" applyAlignment="1" applyProtection="1">
      <alignment horizontal="center" vertical="center"/>
      <protection hidden="1"/>
    </xf>
    <xf numFmtId="0" fontId="30" fillId="30" borderId="2" xfId="0" applyFont="1" applyFill="1" applyBorder="1" applyAlignment="1" applyProtection="1">
      <alignment horizontal="center" vertical="center"/>
      <protection hidden="1"/>
    </xf>
    <xf numFmtId="0" fontId="30" fillId="30" borderId="3" xfId="0" applyFont="1" applyFill="1" applyBorder="1" applyAlignment="1" applyProtection="1">
      <alignment horizontal="center" vertical="center"/>
      <protection hidden="1"/>
    </xf>
    <xf numFmtId="0" fontId="30" fillId="30" borderId="14" xfId="0" applyFont="1" applyFill="1" applyBorder="1" applyAlignment="1" applyProtection="1">
      <alignment horizontal="center" vertical="center"/>
      <protection hidden="1"/>
    </xf>
    <xf numFmtId="0" fontId="30" fillId="30" borderId="10" xfId="0" applyFont="1" applyFill="1" applyBorder="1" applyAlignment="1" applyProtection="1">
      <alignment horizontal="center" vertical="center"/>
      <protection hidden="1"/>
    </xf>
    <xf numFmtId="0" fontId="30" fillId="30" borderId="15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40" fillId="30" borderId="1" xfId="0" applyFont="1" applyFill="1" applyBorder="1" applyAlignment="1" applyProtection="1">
      <alignment horizontal="center" vertical="center"/>
      <protection hidden="1"/>
    </xf>
    <xf numFmtId="0" fontId="40" fillId="30" borderId="2" xfId="0" applyFont="1" applyFill="1" applyBorder="1" applyAlignment="1" applyProtection="1">
      <alignment horizontal="center" vertical="center"/>
      <protection hidden="1"/>
    </xf>
    <xf numFmtId="0" fontId="40" fillId="30" borderId="3" xfId="0" applyFont="1" applyFill="1" applyBorder="1" applyAlignment="1" applyProtection="1">
      <alignment horizontal="center" vertical="center"/>
      <protection hidden="1"/>
    </xf>
    <xf numFmtId="0" fontId="40" fillId="30" borderId="14" xfId="0" applyFont="1" applyFill="1" applyBorder="1" applyAlignment="1" applyProtection="1">
      <alignment horizontal="center" vertical="center"/>
      <protection hidden="1"/>
    </xf>
    <xf numFmtId="0" fontId="40" fillId="30" borderId="10" xfId="0" applyFont="1" applyFill="1" applyBorder="1" applyAlignment="1" applyProtection="1">
      <alignment horizontal="center" vertical="center"/>
      <protection hidden="1"/>
    </xf>
    <xf numFmtId="0" fontId="40" fillId="30" borderId="15" xfId="0" applyFont="1" applyFill="1" applyBorder="1" applyAlignment="1" applyProtection="1">
      <alignment horizontal="center" vertical="center"/>
      <protection hidden="1"/>
    </xf>
    <xf numFmtId="0" fontId="12" fillId="19" borderId="1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 vertical="center"/>
    </xf>
    <xf numFmtId="0" fontId="12" fillId="19" borderId="3" xfId="0" applyFont="1" applyFill="1" applyBorder="1" applyAlignment="1">
      <alignment horizontal="center" vertical="center"/>
    </xf>
    <xf numFmtId="164" fontId="75" fillId="8" borderId="8" xfId="0" applyNumberFormat="1" applyFont="1" applyFill="1" applyBorder="1" applyAlignment="1" applyProtection="1">
      <alignment horizontal="center"/>
      <protection hidden="1"/>
    </xf>
    <xf numFmtId="164" fontId="75" fillId="8" borderId="9" xfId="0" applyNumberFormat="1" applyFont="1" applyFill="1" applyBorder="1" applyAlignment="1" applyProtection="1">
      <alignment horizontal="center"/>
      <protection hidden="1"/>
    </xf>
    <xf numFmtId="0" fontId="12" fillId="19" borderId="0" xfId="0" applyFont="1" applyFill="1" applyAlignment="1" applyProtection="1">
      <alignment horizontal="center" vertical="center"/>
      <protection hidden="1"/>
    </xf>
    <xf numFmtId="0" fontId="12" fillId="19" borderId="6" xfId="0" applyFont="1" applyFill="1" applyBorder="1" applyAlignment="1" applyProtection="1">
      <alignment horizontal="center" vertical="center"/>
      <protection hidden="1"/>
    </xf>
    <xf numFmtId="0" fontId="44" fillId="18" borderId="19" xfId="0" applyFont="1" applyFill="1" applyBorder="1" applyAlignment="1">
      <alignment horizontal="center"/>
    </xf>
    <xf numFmtId="0" fontId="44" fillId="18" borderId="0" xfId="0" applyFont="1" applyFill="1" applyAlignment="1">
      <alignment horizontal="center"/>
    </xf>
    <xf numFmtId="0" fontId="44" fillId="18" borderId="20" xfId="0" applyFont="1" applyFill="1" applyBorder="1" applyAlignment="1">
      <alignment horizontal="center"/>
    </xf>
    <xf numFmtId="0" fontId="1" fillId="19" borderId="0" xfId="0" applyFont="1" applyFill="1" applyAlignment="1">
      <alignment horizontal="center" vertical="center"/>
    </xf>
    <xf numFmtId="0" fontId="33" fillId="18" borderId="16" xfId="0" applyFont="1" applyFill="1" applyBorder="1" applyAlignment="1">
      <alignment horizontal="right" vertical="center"/>
    </xf>
    <xf numFmtId="0" fontId="33" fillId="18" borderId="17" xfId="0" applyFont="1" applyFill="1" applyBorder="1" applyAlignment="1">
      <alignment horizontal="right" vertical="center"/>
    </xf>
    <xf numFmtId="0" fontId="33" fillId="18" borderId="26" xfId="0" applyFont="1" applyFill="1" applyBorder="1" applyAlignment="1">
      <alignment horizontal="center" vertical="center"/>
    </xf>
    <xf numFmtId="0" fontId="36" fillId="19" borderId="8" xfId="0" applyFont="1" applyFill="1" applyBorder="1" applyAlignment="1" applyProtection="1">
      <alignment horizontal="center" vertical="center" wrapText="1"/>
      <protection hidden="1"/>
    </xf>
    <xf numFmtId="0" fontId="36" fillId="19" borderId="9" xfId="0" applyFont="1" applyFill="1" applyBorder="1" applyAlignment="1" applyProtection="1">
      <alignment horizontal="center" vertical="center" wrapText="1"/>
      <protection hidden="1"/>
    </xf>
    <xf numFmtId="0" fontId="37" fillId="19" borderId="8" xfId="0" applyFont="1" applyFill="1" applyBorder="1" applyAlignment="1" applyProtection="1">
      <alignment horizontal="center" vertical="center" wrapText="1"/>
      <protection hidden="1"/>
    </xf>
    <xf numFmtId="0" fontId="37" fillId="19" borderId="9" xfId="0" applyFont="1" applyFill="1" applyBorder="1" applyAlignment="1" applyProtection="1">
      <alignment horizontal="center" vertical="center" wrapText="1"/>
      <protection hidden="1"/>
    </xf>
    <xf numFmtId="0" fontId="38" fillId="19" borderId="8" xfId="0" applyFont="1" applyFill="1" applyBorder="1" applyAlignment="1" applyProtection="1">
      <alignment horizontal="center" vertical="center" wrapText="1"/>
      <protection hidden="1"/>
    </xf>
    <xf numFmtId="0" fontId="38" fillId="19" borderId="9" xfId="0" applyFont="1" applyFill="1" applyBorder="1" applyAlignment="1" applyProtection="1">
      <alignment horizontal="center" vertical="center" wrapText="1"/>
      <protection hidden="1"/>
    </xf>
    <xf numFmtId="0" fontId="39" fillId="19" borderId="8" xfId="0" applyFont="1" applyFill="1" applyBorder="1" applyAlignment="1" applyProtection="1">
      <alignment horizontal="center" vertical="center"/>
      <protection hidden="1"/>
    </xf>
    <xf numFmtId="0" fontId="39" fillId="19" borderId="12" xfId="0" applyFont="1" applyFill="1" applyBorder="1" applyAlignment="1" applyProtection="1">
      <alignment horizontal="center" vertical="center"/>
      <protection hidden="1"/>
    </xf>
    <xf numFmtId="0" fontId="35" fillId="19" borderId="7" xfId="0" applyFont="1" applyFill="1" applyBorder="1" applyAlignment="1" applyProtection="1">
      <alignment horizontal="center" vertical="center"/>
      <protection hidden="1"/>
    </xf>
    <xf numFmtId="0" fontId="30" fillId="19" borderId="7" xfId="0" applyFont="1" applyFill="1" applyBorder="1" applyAlignment="1" applyProtection="1">
      <alignment horizontal="center" vertical="center"/>
      <protection hidden="1"/>
    </xf>
    <xf numFmtId="10" fontId="30" fillId="19" borderId="7" xfId="0" applyNumberFormat="1" applyFont="1" applyFill="1" applyBorder="1" applyAlignment="1" applyProtection="1">
      <alignment horizontal="center" vertical="center"/>
      <protection hidden="1"/>
    </xf>
    <xf numFmtId="0" fontId="77" fillId="19" borderId="0" xfId="0" applyFont="1" applyFill="1" applyAlignment="1">
      <alignment horizontal="center" vertical="center"/>
    </xf>
    <xf numFmtId="0" fontId="33" fillId="18" borderId="17" xfId="0" applyFont="1" applyFill="1" applyBorder="1" applyAlignment="1">
      <alignment horizontal="center" vertical="center"/>
    </xf>
    <xf numFmtId="0" fontId="39" fillId="19" borderId="7" xfId="0" applyFont="1" applyFill="1" applyBorder="1" applyAlignment="1" applyProtection="1">
      <alignment horizontal="center" vertical="center"/>
      <protection hidden="1"/>
    </xf>
    <xf numFmtId="0" fontId="0" fillId="19" borderId="0" xfId="0" applyFill="1" applyAlignment="1">
      <alignment horizontal="center"/>
    </xf>
    <xf numFmtId="164" fontId="78" fillId="19" borderId="0" xfId="0" applyNumberFormat="1" applyFont="1" applyFill="1" applyAlignment="1" applyProtection="1">
      <alignment horizontal="center" vertical="center"/>
      <protection hidden="1"/>
    </xf>
    <xf numFmtId="0" fontId="17" fillId="19" borderId="0" xfId="0" applyFont="1" applyFill="1" applyAlignment="1" applyProtection="1">
      <alignment horizontal="center"/>
      <protection hidden="1"/>
    </xf>
    <xf numFmtId="0" fontId="80" fillId="19" borderId="12" xfId="0" applyFont="1" applyFill="1" applyBorder="1" applyAlignment="1">
      <alignment horizontal="center" vertical="center"/>
    </xf>
    <xf numFmtId="0" fontId="81" fillId="19" borderId="0" xfId="0" applyFont="1" applyFill="1" applyAlignment="1">
      <alignment horizontal="center"/>
    </xf>
    <xf numFmtId="0" fontId="83" fillId="19" borderId="0" xfId="0" applyFont="1" applyFill="1" applyAlignment="1" applyProtection="1">
      <alignment horizontal="center" vertical="center"/>
      <protection hidden="1"/>
    </xf>
    <xf numFmtId="0" fontId="0" fillId="19" borderId="0" xfId="0" applyFill="1" applyAlignment="1">
      <alignment horizontal="center" vertical="center"/>
    </xf>
    <xf numFmtId="0" fontId="0" fillId="0" borderId="0" xfId="0"/>
    <xf numFmtId="0" fontId="15" fillId="19" borderId="0" xfId="0" applyFont="1" applyFill="1" applyAlignment="1" applyProtection="1">
      <alignment horizontal="center" vertical="center"/>
      <protection hidden="1"/>
    </xf>
    <xf numFmtId="0" fontId="1" fillId="21" borderId="8" xfId="0" applyFont="1" applyFill="1" applyBorder="1" applyAlignment="1">
      <alignment horizontal="center"/>
    </xf>
    <xf numFmtId="0" fontId="1" fillId="21" borderId="9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62" fillId="3" borderId="49" xfId="0" applyFont="1" applyFill="1" applyBorder="1" applyAlignment="1">
      <alignment horizontal="left"/>
    </xf>
    <xf numFmtId="0" fontId="63" fillId="3" borderId="50" xfId="0" applyFont="1" applyFill="1" applyBorder="1" applyAlignment="1">
      <alignment horizontal="left"/>
    </xf>
    <xf numFmtId="0" fontId="63" fillId="3" borderId="51" xfId="0" applyFont="1" applyFill="1" applyBorder="1" applyAlignment="1">
      <alignment horizontal="left"/>
    </xf>
    <xf numFmtId="0" fontId="51" fillId="24" borderId="13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51" fillId="24" borderId="14" xfId="0" applyFont="1" applyFill="1" applyBorder="1" applyAlignment="1">
      <alignment horizontal="center" vertical="center"/>
    </xf>
    <xf numFmtId="0" fontId="51" fillId="24" borderId="26" xfId="0" applyFont="1" applyFill="1" applyBorder="1" applyAlignment="1">
      <alignment horizontal="center" vertical="center"/>
    </xf>
    <xf numFmtId="0" fontId="51" fillId="24" borderId="4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62" fillId="3" borderId="50" xfId="0" applyFont="1" applyFill="1" applyBorder="1" applyAlignment="1">
      <alignment horizontal="left"/>
    </xf>
    <xf numFmtId="0" fontId="62" fillId="3" borderId="51" xfId="0" applyFont="1" applyFill="1" applyBorder="1" applyAlignment="1">
      <alignment horizontal="left"/>
    </xf>
    <xf numFmtId="0" fontId="51" fillId="24" borderId="36" xfId="0" applyFont="1" applyFill="1" applyBorder="1" applyAlignment="1">
      <alignment horizontal="center" vertical="center" wrapText="1"/>
    </xf>
    <xf numFmtId="0" fontId="64" fillId="24" borderId="37" xfId="0" applyFont="1" applyFill="1" applyBorder="1" applyAlignment="1">
      <alignment horizontal="center" vertical="center" wrapText="1"/>
    </xf>
    <xf numFmtId="0" fontId="64" fillId="24" borderId="42" xfId="0" applyFont="1" applyFill="1" applyBorder="1" applyAlignment="1">
      <alignment horizontal="center" vertical="center" wrapText="1"/>
    </xf>
    <xf numFmtId="0" fontId="51" fillId="24" borderId="13" xfId="0" applyFont="1" applyFill="1" applyBorder="1" applyAlignment="1">
      <alignment vertical="center"/>
    </xf>
    <xf numFmtId="0" fontId="62" fillId="24" borderId="36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/>
    </xf>
    <xf numFmtId="166" fontId="46" fillId="15" borderId="12" xfId="0" applyNumberFormat="1" applyFont="1" applyFill="1" applyBorder="1" applyAlignment="1">
      <alignment horizontal="right"/>
    </xf>
    <xf numFmtId="166" fontId="47" fillId="15" borderId="10" xfId="1" applyNumberFormat="1" applyFont="1" applyFill="1" applyBorder="1" applyAlignment="1" applyProtection="1">
      <alignment horizontal="left"/>
    </xf>
    <xf numFmtId="166" fontId="47" fillId="15" borderId="15" xfId="1" applyNumberFormat="1" applyFont="1" applyFill="1" applyBorder="1" applyAlignment="1" applyProtection="1">
      <alignment horizontal="left"/>
    </xf>
    <xf numFmtId="0" fontId="68" fillId="23" borderId="8" xfId="0" applyFont="1" applyFill="1" applyBorder="1" applyAlignment="1" applyProtection="1">
      <alignment horizontal="center" vertical="center"/>
      <protection hidden="1"/>
    </xf>
    <xf numFmtId="0" fontId="68" fillId="23" borderId="12" xfId="0" applyFont="1" applyFill="1" applyBorder="1" applyAlignment="1" applyProtection="1">
      <alignment horizontal="center" vertical="center"/>
      <protection hidden="1"/>
    </xf>
    <xf numFmtId="0" fontId="68" fillId="23" borderId="12" xfId="0" applyFont="1" applyFill="1" applyBorder="1" applyAlignment="1" applyProtection="1">
      <alignment horizontal="left" vertical="center"/>
      <protection hidden="1"/>
    </xf>
    <xf numFmtId="0" fontId="68" fillId="23" borderId="9" xfId="0" applyFont="1" applyFill="1" applyBorder="1" applyAlignment="1" applyProtection="1">
      <alignment horizontal="left" vertical="center"/>
      <protection hidden="1"/>
    </xf>
    <xf numFmtId="0" fontId="35" fillId="22" borderId="7" xfId="0" applyFont="1" applyFill="1" applyBorder="1" applyAlignment="1" applyProtection="1">
      <alignment horizontal="center" vertical="center"/>
      <protection hidden="1"/>
    </xf>
    <xf numFmtId="0" fontId="30" fillId="22" borderId="7" xfId="0" applyFont="1" applyFill="1" applyBorder="1" applyAlignment="1" applyProtection="1">
      <alignment horizontal="center" vertical="center"/>
      <protection hidden="1"/>
    </xf>
    <xf numFmtId="10" fontId="30" fillId="22" borderId="7" xfId="0" applyNumberFormat="1" applyFont="1" applyFill="1" applyBorder="1" applyAlignment="1" applyProtection="1">
      <alignment horizontal="center" vertical="center"/>
      <protection hidden="1"/>
    </xf>
    <xf numFmtId="0" fontId="36" fillId="22" borderId="8" xfId="0" applyFont="1" applyFill="1" applyBorder="1" applyAlignment="1" applyProtection="1">
      <alignment horizontal="center" vertical="center" wrapText="1"/>
      <protection hidden="1"/>
    </xf>
    <xf numFmtId="0" fontId="36" fillId="22" borderId="9" xfId="0" applyFont="1" applyFill="1" applyBorder="1" applyAlignment="1" applyProtection="1">
      <alignment horizontal="center" vertical="center" wrapText="1"/>
      <protection hidden="1"/>
    </xf>
    <xf numFmtId="0" fontId="37" fillId="22" borderId="8" xfId="0" applyFont="1" applyFill="1" applyBorder="1" applyAlignment="1" applyProtection="1">
      <alignment horizontal="center" vertical="center" wrapText="1" shrinkToFit="1"/>
      <protection hidden="1"/>
    </xf>
    <xf numFmtId="0" fontId="37" fillId="22" borderId="9" xfId="0" applyFont="1" applyFill="1" applyBorder="1" applyAlignment="1" applyProtection="1">
      <alignment horizontal="center" vertical="center" wrapText="1" shrinkToFit="1"/>
      <protection hidden="1"/>
    </xf>
    <xf numFmtId="0" fontId="37" fillId="22" borderId="8" xfId="0" applyFont="1" applyFill="1" applyBorder="1" applyAlignment="1" applyProtection="1">
      <alignment horizontal="center" vertical="center" wrapText="1"/>
      <protection hidden="1"/>
    </xf>
    <xf numFmtId="0" fontId="37" fillId="22" borderId="9" xfId="0" applyFont="1" applyFill="1" applyBorder="1" applyAlignment="1" applyProtection="1">
      <alignment horizontal="center" vertical="center" wrapText="1"/>
      <protection hidden="1"/>
    </xf>
    <xf numFmtId="0" fontId="38" fillId="22" borderId="8" xfId="0" applyFont="1" applyFill="1" applyBorder="1" applyAlignment="1" applyProtection="1">
      <alignment horizontal="center" vertical="center" wrapText="1"/>
      <protection hidden="1"/>
    </xf>
    <xf numFmtId="0" fontId="38" fillId="22" borderId="9" xfId="0" applyFont="1" applyFill="1" applyBorder="1" applyAlignment="1" applyProtection="1">
      <alignment horizontal="center" vertical="center" wrapText="1"/>
      <protection hidden="1"/>
    </xf>
    <xf numFmtId="0" fontId="39" fillId="22" borderId="7" xfId="0" applyFont="1" applyFill="1" applyBorder="1" applyAlignment="1" applyProtection="1">
      <alignment horizontal="center" vertical="center"/>
      <protection hidden="1"/>
    </xf>
    <xf numFmtId="0" fontId="51" fillId="24" borderId="38" xfId="0" applyFont="1" applyFill="1" applyBorder="1" applyAlignment="1">
      <alignment vertical="center"/>
    </xf>
    <xf numFmtId="0" fontId="51" fillId="24" borderId="38" xfId="0" applyFont="1" applyFill="1" applyBorder="1" applyAlignment="1">
      <alignment horizontal="center" vertical="center" wrapText="1"/>
    </xf>
    <xf numFmtId="0" fontId="53" fillId="24" borderId="37" xfId="0" applyFont="1" applyFill="1" applyBorder="1" applyAlignment="1">
      <alignment horizontal="center" vertical="center" wrapText="1"/>
    </xf>
    <xf numFmtId="0" fontId="53" fillId="24" borderId="39" xfId="0" applyFont="1" applyFill="1" applyBorder="1" applyAlignment="1">
      <alignment horizontal="center" vertical="center" wrapText="1"/>
    </xf>
    <xf numFmtId="0" fontId="51" fillId="13" borderId="36" xfId="0" applyFont="1" applyFill="1" applyBorder="1" applyAlignment="1">
      <alignment horizontal="center" vertical="center"/>
    </xf>
    <xf numFmtId="0" fontId="51" fillId="13" borderId="11" xfId="0" applyFont="1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54" fillId="25" borderId="36" xfId="0" applyFont="1" applyFill="1" applyBorder="1" applyAlignment="1" applyProtection="1">
      <alignment horizontal="center" vertical="center"/>
      <protection hidden="1"/>
    </xf>
    <xf numFmtId="0" fontId="54" fillId="25" borderId="11" xfId="0" applyFont="1" applyFill="1" applyBorder="1" applyAlignment="1" applyProtection="1">
      <alignment horizontal="center" vertical="center"/>
      <protection hidden="1"/>
    </xf>
    <xf numFmtId="0" fontId="51" fillId="13" borderId="5" xfId="0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54" fillId="25" borderId="5" xfId="0" applyFont="1" applyFill="1" applyBorder="1" applyAlignment="1" applyProtection="1">
      <alignment horizontal="center" vertical="center"/>
      <protection hidden="1"/>
    </xf>
    <xf numFmtId="0" fontId="51" fillId="13" borderId="13" xfId="0" applyFont="1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54" fillId="25" borderId="13" xfId="0" applyFont="1" applyFill="1" applyBorder="1" applyAlignment="1" applyProtection="1">
      <alignment horizontal="center" vertical="center"/>
      <protection hidden="1"/>
    </xf>
    <xf numFmtId="0" fontId="51" fillId="13" borderId="38" xfId="0" applyFont="1" applyFill="1" applyBorder="1" applyAlignment="1">
      <alignment horizontal="center" vertical="center"/>
    </xf>
    <xf numFmtId="0" fontId="0" fillId="25" borderId="38" xfId="0" applyFill="1" applyBorder="1" applyAlignment="1">
      <alignment horizontal="center" vertical="center"/>
    </xf>
    <xf numFmtId="0" fontId="54" fillId="25" borderId="38" xfId="0" applyFont="1" applyFill="1" applyBorder="1" applyAlignment="1" applyProtection="1">
      <alignment horizontal="center" vertical="center"/>
      <protection hidden="1"/>
    </xf>
    <xf numFmtId="0" fontId="51" fillId="24" borderId="4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1" fontId="53" fillId="25" borderId="41" xfId="0" applyNumberFormat="1" applyFont="1" applyFill="1" applyBorder="1" applyAlignment="1" applyProtection="1">
      <alignment horizontal="center" vertical="center"/>
      <protection hidden="1"/>
    </xf>
    <xf numFmtId="1" fontId="53" fillId="25" borderId="42" xfId="0" applyNumberFormat="1" applyFont="1" applyFill="1" applyBorder="1" applyAlignment="1" applyProtection="1">
      <alignment horizontal="center" vertical="center"/>
      <protection hidden="1"/>
    </xf>
    <xf numFmtId="1" fontId="53" fillId="25" borderId="43" xfId="0" applyNumberFormat="1" applyFont="1" applyFill="1" applyBorder="1" applyAlignment="1" applyProtection="1">
      <alignment horizontal="center" vertical="center"/>
      <protection hidden="1"/>
    </xf>
    <xf numFmtId="1" fontId="53" fillId="25" borderId="39" xfId="0" applyNumberFormat="1" applyFont="1" applyFill="1" applyBorder="1" applyAlignment="1" applyProtection="1">
      <alignment horizontal="center" vertical="center"/>
      <protection hidden="1"/>
    </xf>
    <xf numFmtId="0" fontId="72" fillId="19" borderId="11" xfId="0" applyFont="1" applyFill="1" applyBorder="1" applyAlignment="1" applyProtection="1">
      <alignment horizontal="center" vertical="center" wrapText="1"/>
      <protection locked="0"/>
    </xf>
    <xf numFmtId="0" fontId="72" fillId="19" borderId="7" xfId="0" applyFont="1" applyFill="1" applyBorder="1" applyAlignment="1" applyProtection="1">
      <alignment horizontal="center" vertical="center" wrapText="1"/>
      <protection locked="0"/>
    </xf>
    <xf numFmtId="0" fontId="72" fillId="19" borderId="7" xfId="0" applyFont="1" applyFill="1" applyBorder="1" applyAlignment="1" applyProtection="1">
      <alignment horizontal="center" vertical="top" wrapText="1"/>
      <protection locked="0"/>
    </xf>
    <xf numFmtId="14" fontId="72" fillId="19" borderId="11" xfId="0" applyNumberFormat="1" applyFont="1" applyFill="1" applyBorder="1" applyAlignment="1" applyProtection="1">
      <alignment horizontal="center" vertical="center" wrapText="1"/>
      <protection locked="0"/>
    </xf>
    <xf numFmtId="10" fontId="73" fillId="19" borderId="11" xfId="0" applyNumberFormat="1" applyFont="1" applyFill="1" applyBorder="1" applyAlignment="1" applyProtection="1">
      <alignment horizontal="center" vertical="center"/>
      <protection locked="0"/>
    </xf>
    <xf numFmtId="0" fontId="74" fillId="19" borderId="11" xfId="0" applyFont="1" applyFill="1" applyBorder="1" applyAlignment="1" applyProtection="1">
      <alignment horizontal="center" vertical="center" wrapText="1"/>
      <protection locked="0"/>
    </xf>
    <xf numFmtId="14" fontId="72" fillId="19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mruColors>
      <color rgb="FF0000FF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48373</xdr:colOff>
      <xdr:row>8</xdr:row>
      <xdr:rowOff>3625</xdr:rowOff>
    </xdr:from>
    <xdr:to>
      <xdr:col>1</xdr:col>
      <xdr:colOff>241771</xdr:colOff>
      <xdr:row>8</xdr:row>
      <xdr:rowOff>158510</xdr:rowOff>
    </xdr:to>
    <xdr:sp macro="" textlink="">
      <xdr:nvSpPr>
        <xdr:cNvPr id="2" name="Šesťuho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2198" y="1508575"/>
          <a:ext cx="193398" cy="15488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293205</xdr:colOff>
      <xdr:row>8</xdr:row>
      <xdr:rowOff>4557</xdr:rowOff>
    </xdr:from>
    <xdr:to>
      <xdr:col>1</xdr:col>
      <xdr:colOff>486603</xdr:colOff>
      <xdr:row>8</xdr:row>
      <xdr:rowOff>159442</xdr:rowOff>
    </xdr:to>
    <xdr:sp macro="" textlink="">
      <xdr:nvSpPr>
        <xdr:cNvPr id="3" name="Šesťuholní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4913" y="1523265"/>
          <a:ext cx="193398" cy="154885"/>
        </a:xfrm>
        <a:prstGeom prst="hexagon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523804</xdr:colOff>
      <xdr:row>8</xdr:row>
      <xdr:rowOff>4143</xdr:rowOff>
    </xdr:from>
    <xdr:to>
      <xdr:col>1</xdr:col>
      <xdr:colOff>717202</xdr:colOff>
      <xdr:row>8</xdr:row>
      <xdr:rowOff>159028</xdr:rowOff>
    </xdr:to>
    <xdr:sp macro="" textlink="">
      <xdr:nvSpPr>
        <xdr:cNvPr id="4" name="Šesťuholní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5512" y="1522851"/>
          <a:ext cx="193398" cy="154885"/>
        </a:xfrm>
        <a:prstGeom prst="hexagon">
          <a:avLst/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759930</xdr:colOff>
      <xdr:row>8</xdr:row>
      <xdr:rowOff>4142</xdr:rowOff>
    </xdr:from>
    <xdr:to>
      <xdr:col>2</xdr:col>
      <xdr:colOff>79375</xdr:colOff>
      <xdr:row>8</xdr:row>
      <xdr:rowOff>159027</xdr:rowOff>
    </xdr:to>
    <xdr:sp macro="" textlink="">
      <xdr:nvSpPr>
        <xdr:cNvPr id="5" name="Šesťuholní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638" y="1522850"/>
          <a:ext cx="197862" cy="154885"/>
        </a:xfrm>
        <a:prstGeom prst="hexagon">
          <a:avLst/>
        </a:prstGeom>
        <a:solidFill>
          <a:srgbClr val="00B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122629</xdr:colOff>
      <xdr:row>8</xdr:row>
      <xdr:rowOff>4143</xdr:rowOff>
    </xdr:from>
    <xdr:to>
      <xdr:col>2</xdr:col>
      <xdr:colOff>316027</xdr:colOff>
      <xdr:row>8</xdr:row>
      <xdr:rowOff>159028</xdr:rowOff>
    </xdr:to>
    <xdr:sp macro="" textlink="">
      <xdr:nvSpPr>
        <xdr:cNvPr id="6" name="Šesťuholní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2754" y="1522851"/>
          <a:ext cx="193398" cy="154885"/>
        </a:xfrm>
        <a:prstGeom prst="hexagon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nicasoko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rnicasokol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arnicasokol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rnicasokol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arnicasokol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arnicasokol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vigor@vigorbe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E40" sqref="E40"/>
    </sheetView>
  </sheetViews>
  <sheetFormatPr defaultRowHeight="12.75" x14ac:dyDescent="0.2"/>
  <cols>
    <col min="1" max="1" width="1.85546875" customWidth="1"/>
    <col min="2" max="3" width="13.140625" style="1" customWidth="1"/>
    <col min="4" max="5" width="13.140625" customWidth="1"/>
    <col min="6" max="6" width="10.42578125" customWidth="1"/>
    <col min="7" max="7" width="10.5703125" customWidth="1"/>
    <col min="8" max="8" width="9" customWidth="1"/>
    <col min="9" max="9" width="11.140625" customWidth="1"/>
    <col min="10" max="10" width="6" customWidth="1"/>
    <col min="11" max="11" width="9.140625" customWidth="1"/>
    <col min="12" max="12" width="5.42578125" customWidth="1"/>
    <col min="13" max="13" width="8.7109375" customWidth="1"/>
    <col min="14" max="14" width="7.85546875" customWidth="1"/>
    <col min="15" max="15" width="7.140625" customWidth="1"/>
    <col min="16" max="16" width="2.140625" customWidth="1"/>
  </cols>
  <sheetData>
    <row r="1" spans="1:16" x14ac:dyDescent="0.2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3"/>
    </row>
    <row r="2" spans="1:16" ht="18" x14ac:dyDescent="0.2">
      <c r="A2" s="294"/>
      <c r="B2" s="220" t="s">
        <v>0</v>
      </c>
      <c r="C2" s="219"/>
      <c r="D2" s="2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96"/>
    </row>
    <row r="3" spans="1:16" ht="24" x14ac:dyDescent="0.2">
      <c r="A3" s="294"/>
      <c r="B3" s="298" t="s">
        <v>2</v>
      </c>
      <c r="C3" s="298"/>
      <c r="D3" s="299" t="str">
        <f>UPPER(B12)</f>
        <v>SOK250001</v>
      </c>
      <c r="E3" s="299"/>
      <c r="F3" s="276" t="s">
        <v>220</v>
      </c>
      <c r="G3" s="305" t="str">
        <f>PROPER(I12)</f>
        <v>Carnica</v>
      </c>
      <c r="H3" s="306"/>
      <c r="I3" s="4" t="s">
        <v>3</v>
      </c>
      <c r="J3" s="300" t="s">
        <v>4</v>
      </c>
      <c r="K3" s="301"/>
      <c r="L3" s="3"/>
      <c r="M3" s="290" t="e" vm="1">
        <v>#VALUE!</v>
      </c>
      <c r="N3" s="290"/>
      <c r="O3" s="290"/>
      <c r="P3" s="296"/>
    </row>
    <row r="4" spans="1:16" ht="12.75" customHeight="1" x14ac:dyDescent="0.2">
      <c r="A4" s="294"/>
      <c r="B4" s="302"/>
      <c r="C4" s="302"/>
      <c r="D4" s="302"/>
      <c r="E4" s="302"/>
      <c r="F4" s="302"/>
      <c r="G4" s="302"/>
      <c r="H4" s="303"/>
      <c r="I4" s="277"/>
      <c r="J4" s="5" t="s">
        <v>5</v>
      </c>
      <c r="K4" s="222" t="s">
        <v>95</v>
      </c>
      <c r="L4" s="3"/>
      <c r="M4" s="290"/>
      <c r="N4" s="290"/>
      <c r="O4" s="290"/>
      <c r="P4" s="296"/>
    </row>
    <row r="5" spans="1:16" ht="12.75" customHeight="1" x14ac:dyDescent="0.2">
      <c r="A5" s="294"/>
      <c r="B5" s="6" t="s">
        <v>6</v>
      </c>
      <c r="C5" s="6" t="s">
        <v>7</v>
      </c>
      <c r="D5" s="304" t="s">
        <v>8</v>
      </c>
      <c r="E5" s="304"/>
      <c r="F5" s="307" t="s">
        <v>186</v>
      </c>
      <c r="G5" s="308"/>
      <c r="H5" s="309"/>
      <c r="I5" s="277"/>
      <c r="J5" s="7" t="s">
        <v>9</v>
      </c>
      <c r="K5" s="223" t="s">
        <v>96</v>
      </c>
      <c r="L5" s="3"/>
      <c r="M5" s="290"/>
      <c r="N5" s="290"/>
      <c r="O5" s="290"/>
      <c r="P5" s="296"/>
    </row>
    <row r="6" spans="1:16" ht="12.75" customHeight="1" x14ac:dyDescent="0.2">
      <c r="A6" s="294"/>
      <c r="B6" s="259"/>
      <c r="C6" s="8"/>
      <c r="D6" s="310"/>
      <c r="E6" s="311"/>
      <c r="F6" s="316"/>
      <c r="G6" s="317"/>
      <c r="H6" s="318"/>
      <c r="I6" s="277"/>
      <c r="J6" s="5" t="s">
        <v>10</v>
      </c>
      <c r="K6" s="224" t="s">
        <v>97</v>
      </c>
      <c r="L6" s="3"/>
      <c r="M6" s="290"/>
      <c r="N6" s="290"/>
      <c r="O6" s="290"/>
      <c r="P6" s="296"/>
    </row>
    <row r="7" spans="1:16" ht="12.75" customHeight="1" x14ac:dyDescent="0.2">
      <c r="A7" s="294"/>
      <c r="B7" s="325"/>
      <c r="C7" s="326"/>
      <c r="D7" s="312"/>
      <c r="E7" s="313"/>
      <c r="F7" s="319"/>
      <c r="G7" s="320"/>
      <c r="H7" s="321"/>
      <c r="I7" s="277"/>
      <c r="J7" s="5" t="s">
        <v>11</v>
      </c>
      <c r="K7" s="225" t="s">
        <v>98</v>
      </c>
      <c r="L7" s="3"/>
      <c r="M7" s="290"/>
      <c r="N7" s="290"/>
      <c r="O7" s="290"/>
      <c r="P7" s="296"/>
    </row>
    <row r="8" spans="1:16" ht="12.75" customHeight="1" x14ac:dyDescent="0.2">
      <c r="A8" s="294"/>
      <c r="B8" s="327" t="s">
        <v>12</v>
      </c>
      <c r="C8" s="328"/>
      <c r="D8" s="312"/>
      <c r="E8" s="313"/>
      <c r="F8" s="319"/>
      <c r="G8" s="320"/>
      <c r="H8" s="321"/>
      <c r="I8" s="277"/>
      <c r="J8" s="5" t="s">
        <v>13</v>
      </c>
      <c r="K8" s="226" t="s">
        <v>99</v>
      </c>
      <c r="L8" s="3"/>
      <c r="M8" s="290"/>
      <c r="N8" s="290"/>
      <c r="O8" s="290"/>
      <c r="P8" s="296"/>
    </row>
    <row r="9" spans="1:16" ht="12.75" customHeight="1" x14ac:dyDescent="0.2">
      <c r="A9" s="294"/>
      <c r="B9" s="282" t="str">
        <f>T(J12)</f>
        <v/>
      </c>
      <c r="C9" s="283"/>
      <c r="D9" s="314"/>
      <c r="E9" s="315"/>
      <c r="F9" s="322"/>
      <c r="G9" s="323"/>
      <c r="H9" s="324"/>
      <c r="I9" s="277"/>
      <c r="J9" s="5" t="s">
        <v>14</v>
      </c>
      <c r="K9" s="227" t="s">
        <v>100</v>
      </c>
      <c r="L9" s="3"/>
      <c r="M9" s="290"/>
      <c r="N9" s="290"/>
      <c r="O9" s="290"/>
      <c r="P9" s="296"/>
    </row>
    <row r="10" spans="1:16" ht="12.75" customHeight="1" x14ac:dyDescent="0.2">
      <c r="A10" s="294"/>
      <c r="B10" s="288"/>
      <c r="C10" s="288"/>
      <c r="D10" s="288"/>
      <c r="E10" s="288"/>
      <c r="F10" s="288"/>
      <c r="G10" s="288"/>
      <c r="H10" s="289"/>
      <c r="I10" s="222" t="s">
        <v>95</v>
      </c>
      <c r="J10" s="5" t="s">
        <v>15</v>
      </c>
      <c r="K10" s="228" t="s">
        <v>101</v>
      </c>
      <c r="L10" s="3"/>
      <c r="M10" s="290"/>
      <c r="N10" s="290"/>
      <c r="O10" s="290"/>
      <c r="P10" s="296"/>
    </row>
    <row r="11" spans="1:16" ht="24.75" customHeight="1" x14ac:dyDescent="0.2">
      <c r="A11" s="294"/>
      <c r="B11" s="9" t="s">
        <v>16</v>
      </c>
      <c r="C11" s="9" t="s">
        <v>17</v>
      </c>
      <c r="D11" s="10" t="s">
        <v>18</v>
      </c>
      <c r="E11" s="11" t="s">
        <v>19</v>
      </c>
      <c r="F11" s="11" t="s">
        <v>178</v>
      </c>
      <c r="G11" s="9" t="s">
        <v>34</v>
      </c>
      <c r="H11" s="12" t="s">
        <v>20</v>
      </c>
      <c r="I11" s="206" t="s">
        <v>219</v>
      </c>
      <c r="J11" s="208" t="s">
        <v>176</v>
      </c>
      <c r="K11" s="207" t="s">
        <v>177</v>
      </c>
      <c r="L11" s="3"/>
      <c r="M11" s="290"/>
      <c r="N11" s="290"/>
      <c r="O11" s="290"/>
      <c r="P11" s="296"/>
    </row>
    <row r="12" spans="1:16" ht="12.75" customHeight="1" x14ac:dyDescent="0.2">
      <c r="A12" s="294"/>
      <c r="B12" s="475" t="s">
        <v>222</v>
      </c>
      <c r="C12" s="475"/>
      <c r="D12" s="476"/>
      <c r="E12" s="477"/>
      <c r="F12" s="478"/>
      <c r="G12" s="478"/>
      <c r="H12" s="479"/>
      <c r="I12" s="479" t="s">
        <v>221</v>
      </c>
      <c r="J12" s="480"/>
      <c r="K12" s="481"/>
      <c r="L12" s="3"/>
      <c r="M12" s="290"/>
      <c r="N12" s="290"/>
      <c r="O12" s="290"/>
      <c r="P12" s="296"/>
    </row>
    <row r="13" spans="1:16" x14ac:dyDescent="0.2">
      <c r="A13" s="294"/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96"/>
    </row>
    <row r="14" spans="1:16" x14ac:dyDescent="0.2">
      <c r="A14" s="294"/>
      <c r="B14" s="285" t="s">
        <v>21</v>
      </c>
      <c r="C14" s="285" t="s">
        <v>22</v>
      </c>
      <c r="D14" s="286" t="s">
        <v>23</v>
      </c>
      <c r="E14" s="285" t="s">
        <v>24</v>
      </c>
      <c r="F14" s="285" t="s">
        <v>25</v>
      </c>
      <c r="G14" s="285" t="s">
        <v>26</v>
      </c>
      <c r="H14" s="287" t="s">
        <v>27</v>
      </c>
      <c r="I14" s="330" t="s">
        <v>28</v>
      </c>
      <c r="J14" s="334" t="s">
        <v>29</v>
      </c>
      <c r="K14" s="334"/>
      <c r="L14" s="334"/>
      <c r="M14" s="287" t="s">
        <v>30</v>
      </c>
      <c r="N14" s="285" t="s">
        <v>187</v>
      </c>
      <c r="O14" s="287" t="s">
        <v>188</v>
      </c>
      <c r="P14" s="296"/>
    </row>
    <row r="15" spans="1:16" x14ac:dyDescent="0.2">
      <c r="A15" s="294"/>
      <c r="B15" s="285"/>
      <c r="C15" s="285"/>
      <c r="D15" s="286"/>
      <c r="E15" s="285"/>
      <c r="F15" s="285"/>
      <c r="G15" s="285"/>
      <c r="H15" s="287"/>
      <c r="I15" s="331"/>
      <c r="J15" s="13" t="s">
        <v>31</v>
      </c>
      <c r="K15" s="193" t="s">
        <v>174</v>
      </c>
      <c r="L15" s="13" t="s">
        <v>32</v>
      </c>
      <c r="M15" s="287"/>
      <c r="N15" s="285"/>
      <c r="O15" s="287"/>
      <c r="P15" s="296"/>
    </row>
    <row r="16" spans="1:16" x14ac:dyDescent="0.2">
      <c r="A16" s="294"/>
      <c r="B16" s="196"/>
      <c r="C16" s="279"/>
      <c r="D16" s="279"/>
      <c r="E16" s="279"/>
      <c r="F16" s="279"/>
      <c r="G16" s="279"/>
      <c r="H16" s="278"/>
      <c r="I16" s="280"/>
      <c r="J16" s="278"/>
      <c r="K16" s="281"/>
      <c r="L16" s="278"/>
      <c r="M16" s="278"/>
      <c r="N16" s="279"/>
      <c r="O16" s="279"/>
      <c r="P16" s="296"/>
    </row>
    <row r="17" spans="1:16" x14ac:dyDescent="0.2">
      <c r="A17" s="294"/>
      <c r="B17" s="196"/>
      <c r="C17" s="279"/>
      <c r="D17" s="279"/>
      <c r="E17" s="279"/>
      <c r="F17" s="279"/>
      <c r="G17" s="279"/>
      <c r="H17" s="278"/>
      <c r="I17" s="280"/>
      <c r="J17" s="278"/>
      <c r="K17" s="281"/>
      <c r="L17" s="278"/>
      <c r="M17" s="278"/>
      <c r="N17" s="279"/>
      <c r="O17" s="279"/>
      <c r="P17" s="296"/>
    </row>
    <row r="18" spans="1:16" x14ac:dyDescent="0.2">
      <c r="A18" s="294"/>
      <c r="B18" s="196"/>
      <c r="C18" s="279"/>
      <c r="D18" s="279"/>
      <c r="E18" s="279"/>
      <c r="F18" s="279"/>
      <c r="G18" s="279"/>
      <c r="H18" s="278"/>
      <c r="I18" s="280"/>
      <c r="J18" s="278"/>
      <c r="K18" s="281"/>
      <c r="L18" s="278"/>
      <c r="M18" s="278"/>
      <c r="N18" s="279"/>
      <c r="O18" s="279"/>
      <c r="P18" s="296"/>
    </row>
    <row r="19" spans="1:16" x14ac:dyDescent="0.2">
      <c r="A19" s="294"/>
      <c r="B19" s="196"/>
      <c r="C19" s="279"/>
      <c r="D19" s="279"/>
      <c r="E19" s="279"/>
      <c r="F19" s="279"/>
      <c r="G19" s="279"/>
      <c r="H19" s="278"/>
      <c r="I19" s="280"/>
      <c r="J19" s="278"/>
      <c r="K19" s="281"/>
      <c r="L19" s="278"/>
      <c r="M19" s="278"/>
      <c r="N19" s="279"/>
      <c r="O19" s="279"/>
      <c r="P19" s="296"/>
    </row>
    <row r="20" spans="1:16" x14ac:dyDescent="0.2">
      <c r="A20" s="294"/>
      <c r="B20" s="196"/>
      <c r="C20" s="279"/>
      <c r="D20" s="279"/>
      <c r="E20" s="279"/>
      <c r="F20" s="279"/>
      <c r="G20" s="279"/>
      <c r="H20" s="278"/>
      <c r="I20" s="280"/>
      <c r="J20" s="278"/>
      <c r="K20" s="281"/>
      <c r="L20" s="278"/>
      <c r="M20" s="278"/>
      <c r="N20" s="279"/>
      <c r="O20" s="279"/>
      <c r="P20" s="296"/>
    </row>
    <row r="21" spans="1:16" x14ac:dyDescent="0.2">
      <c r="A21" s="294"/>
      <c r="B21" s="196"/>
      <c r="C21" s="279"/>
      <c r="D21" s="279"/>
      <c r="E21" s="279"/>
      <c r="F21" s="279"/>
      <c r="G21" s="279"/>
      <c r="H21" s="278"/>
      <c r="I21" s="280"/>
      <c r="J21" s="278"/>
      <c r="K21" s="281"/>
      <c r="L21" s="278"/>
      <c r="M21" s="278"/>
      <c r="N21" s="279"/>
      <c r="O21" s="279"/>
      <c r="P21" s="296"/>
    </row>
    <row r="22" spans="1:16" x14ac:dyDescent="0.2">
      <c r="A22" s="294"/>
      <c r="B22" s="196"/>
      <c r="C22" s="279"/>
      <c r="D22" s="279"/>
      <c r="E22" s="279"/>
      <c r="F22" s="279"/>
      <c r="G22" s="279"/>
      <c r="H22" s="278"/>
      <c r="I22" s="280"/>
      <c r="J22" s="278"/>
      <c r="K22" s="281"/>
      <c r="L22" s="278"/>
      <c r="M22" s="278"/>
      <c r="N22" s="279"/>
      <c r="O22" s="279"/>
      <c r="P22" s="296"/>
    </row>
    <row r="23" spans="1:16" x14ac:dyDescent="0.2">
      <c r="A23" s="294"/>
      <c r="B23" s="196"/>
      <c r="C23" s="279"/>
      <c r="D23" s="279"/>
      <c r="E23" s="279"/>
      <c r="F23" s="279"/>
      <c r="G23" s="279"/>
      <c r="H23" s="278"/>
      <c r="I23" s="280"/>
      <c r="J23" s="278"/>
      <c r="K23" s="281"/>
      <c r="L23" s="278"/>
      <c r="M23" s="278"/>
      <c r="N23" s="279"/>
      <c r="O23" s="279"/>
      <c r="P23" s="296"/>
    </row>
    <row r="24" spans="1:16" x14ac:dyDescent="0.2">
      <c r="A24" s="294"/>
      <c r="B24" s="196"/>
      <c r="C24" s="279"/>
      <c r="D24" s="279"/>
      <c r="E24" s="279"/>
      <c r="F24" s="279"/>
      <c r="G24" s="279"/>
      <c r="H24" s="278"/>
      <c r="I24" s="280"/>
      <c r="J24" s="278"/>
      <c r="K24" s="281"/>
      <c r="L24" s="278"/>
      <c r="M24" s="278"/>
      <c r="N24" s="279"/>
      <c r="O24" s="279"/>
      <c r="P24" s="296"/>
    </row>
    <row r="25" spans="1:16" x14ac:dyDescent="0.2">
      <c r="A25" s="294"/>
      <c r="B25" s="196"/>
      <c r="C25" s="279"/>
      <c r="D25" s="279"/>
      <c r="E25" s="279"/>
      <c r="F25" s="279"/>
      <c r="G25" s="279"/>
      <c r="H25" s="278"/>
      <c r="I25" s="280"/>
      <c r="J25" s="278"/>
      <c r="K25" s="281"/>
      <c r="L25" s="278"/>
      <c r="M25" s="278"/>
      <c r="N25" s="279"/>
      <c r="O25" s="279"/>
      <c r="P25" s="296"/>
    </row>
    <row r="26" spans="1:16" x14ac:dyDescent="0.2">
      <c r="A26" s="294"/>
      <c r="B26" s="196"/>
      <c r="C26" s="279"/>
      <c r="D26" s="279"/>
      <c r="E26" s="279"/>
      <c r="F26" s="279"/>
      <c r="G26" s="279"/>
      <c r="H26" s="278"/>
      <c r="I26" s="280"/>
      <c r="J26" s="278"/>
      <c r="K26" s="281"/>
      <c r="L26" s="278"/>
      <c r="M26" s="278"/>
      <c r="N26" s="279"/>
      <c r="O26" s="279"/>
      <c r="P26" s="296"/>
    </row>
    <row r="27" spans="1:16" x14ac:dyDescent="0.2">
      <c r="A27" s="294"/>
      <c r="B27" s="196"/>
      <c r="C27" s="279"/>
      <c r="D27" s="279"/>
      <c r="E27" s="279"/>
      <c r="F27" s="279"/>
      <c r="G27" s="279"/>
      <c r="H27" s="278"/>
      <c r="I27" s="280"/>
      <c r="J27" s="278"/>
      <c r="K27" s="281"/>
      <c r="L27" s="278"/>
      <c r="M27" s="278"/>
      <c r="N27" s="279"/>
      <c r="O27" s="279"/>
      <c r="P27" s="296"/>
    </row>
    <row r="28" spans="1:16" x14ac:dyDescent="0.2">
      <c r="A28" s="294"/>
      <c r="B28" s="196"/>
      <c r="C28" s="279"/>
      <c r="D28" s="279"/>
      <c r="E28" s="279"/>
      <c r="F28" s="279"/>
      <c r="G28" s="279"/>
      <c r="H28" s="278"/>
      <c r="I28" s="280"/>
      <c r="J28" s="278"/>
      <c r="K28" s="281"/>
      <c r="L28" s="278"/>
      <c r="M28" s="278"/>
      <c r="N28" s="279"/>
      <c r="O28" s="279"/>
      <c r="P28" s="296"/>
    </row>
    <row r="29" spans="1:16" x14ac:dyDescent="0.2">
      <c r="A29" s="294"/>
      <c r="B29" s="196"/>
      <c r="C29" s="279"/>
      <c r="D29" s="279"/>
      <c r="E29" s="279"/>
      <c r="F29" s="279"/>
      <c r="G29" s="279"/>
      <c r="H29" s="278"/>
      <c r="I29" s="280"/>
      <c r="J29" s="278"/>
      <c r="K29" s="281"/>
      <c r="L29" s="278"/>
      <c r="M29" s="278"/>
      <c r="N29" s="279"/>
      <c r="O29" s="279"/>
      <c r="P29" s="296"/>
    </row>
    <row r="30" spans="1:16" x14ac:dyDescent="0.2">
      <c r="A30" s="294"/>
      <c r="B30" s="196"/>
      <c r="C30" s="279"/>
      <c r="D30" s="279"/>
      <c r="E30" s="279"/>
      <c r="F30" s="279"/>
      <c r="G30" s="279"/>
      <c r="H30" s="278"/>
      <c r="I30" s="280"/>
      <c r="J30" s="278"/>
      <c r="K30" s="281"/>
      <c r="L30" s="278"/>
      <c r="M30" s="278"/>
      <c r="N30" s="279"/>
      <c r="O30" s="279"/>
      <c r="P30" s="296"/>
    </row>
    <row r="31" spans="1:16" x14ac:dyDescent="0.2">
      <c r="A31" s="294"/>
      <c r="B31" s="196"/>
      <c r="C31" s="279"/>
      <c r="D31" s="279"/>
      <c r="E31" s="279"/>
      <c r="F31" s="279"/>
      <c r="G31" s="279"/>
      <c r="H31" s="278"/>
      <c r="I31" s="280"/>
      <c r="J31" s="278"/>
      <c r="K31" s="281"/>
      <c r="L31" s="278"/>
      <c r="M31" s="278"/>
      <c r="N31" s="279"/>
      <c r="O31" s="279"/>
      <c r="P31" s="296"/>
    </row>
    <row r="32" spans="1:16" x14ac:dyDescent="0.2">
      <c r="A32" s="294"/>
      <c r="B32" s="196"/>
      <c r="C32" s="279"/>
      <c r="D32" s="279"/>
      <c r="E32" s="279"/>
      <c r="F32" s="279"/>
      <c r="G32" s="279"/>
      <c r="H32" s="278"/>
      <c r="I32" s="280"/>
      <c r="J32" s="278"/>
      <c r="K32" s="281"/>
      <c r="L32" s="278"/>
      <c r="M32" s="278"/>
      <c r="N32" s="279"/>
      <c r="O32" s="279"/>
      <c r="P32" s="296"/>
    </row>
    <row r="33" spans="1:16" ht="12.75" hidden="1" customHeight="1" x14ac:dyDescent="0.2">
      <c r="A33" s="294"/>
      <c r="B33" s="14"/>
      <c r="C33" s="175">
        <f>SUM(C16:C32)</f>
        <v>0</v>
      </c>
      <c r="D33" s="16"/>
      <c r="E33" s="15"/>
      <c r="F33" s="15"/>
      <c r="G33" s="15"/>
      <c r="H33" s="17">
        <f>SUM(H16:H32)</f>
        <v>0</v>
      </c>
      <c r="I33" s="15"/>
      <c r="J33" s="17">
        <f>SUM(J16:J32)</f>
        <v>0</v>
      </c>
      <c r="K33" s="175"/>
      <c r="L33" s="17">
        <f>SUM(L16:L32)</f>
        <v>0</v>
      </c>
      <c r="M33" s="15"/>
      <c r="N33" s="15"/>
      <c r="O33" s="194"/>
      <c r="P33" s="296"/>
    </row>
    <row r="34" spans="1:16" x14ac:dyDescent="0.2">
      <c r="A34" s="294"/>
      <c r="B34" s="18" t="s">
        <v>33</v>
      </c>
      <c r="C34" s="19" t="str">
        <f>IF(C33=0,"",IFERROR(VALUE(C33),""))</f>
        <v/>
      </c>
      <c r="D34" s="20" t="str">
        <f>IFERROR(AVERAGE(D16:D32),"")</f>
        <v/>
      </c>
      <c r="E34" s="19" t="str">
        <f>IFERROR(AVERAGE(E16:E32),"")</f>
        <v/>
      </c>
      <c r="F34" s="19" t="str">
        <f>IFERROR(AVERAGE(F16:F32),"")</f>
        <v/>
      </c>
      <c r="G34" s="19" t="str">
        <f>IFERROR(AVERAGE(G16:G32),"")</f>
        <v/>
      </c>
      <c r="H34" s="19" t="str">
        <f>IF(H33=0,"",IFERROR(VALUE(H33),""))</f>
        <v/>
      </c>
      <c r="I34" s="19" t="str">
        <f>IFERROR(AVERAGE(I16:I32),"")</f>
        <v/>
      </c>
      <c r="J34" s="335" t="str">
        <f>IFERROR(AVERAGE(K16:K32),"")</f>
        <v/>
      </c>
      <c r="K34" s="336"/>
      <c r="L34" s="337"/>
      <c r="M34" s="19" t="str">
        <f>IFERROR(AVERAGE(M16:M32),"")</f>
        <v/>
      </c>
      <c r="N34" s="19" t="str">
        <f>IFERROR(AVERAGE(N16:N32),"")</f>
        <v/>
      </c>
      <c r="O34" s="19" t="str">
        <f>IFERROR(AVERAGE(O16:O32),"")</f>
        <v/>
      </c>
      <c r="P34" s="296"/>
    </row>
    <row r="35" spans="1:16" x14ac:dyDescent="0.2">
      <c r="A35" s="295"/>
      <c r="B35" s="329" t="s">
        <v>106</v>
      </c>
      <c r="C35" s="329"/>
      <c r="D35" s="329"/>
      <c r="E35" s="329"/>
      <c r="F35" s="329"/>
      <c r="G35" s="329"/>
      <c r="H35" s="329"/>
      <c r="I35" s="329"/>
      <c r="J35" s="329"/>
      <c r="K35" s="332" t="s">
        <v>105</v>
      </c>
      <c r="L35" s="333"/>
      <c r="M35" s="333"/>
      <c r="N35" s="333"/>
      <c r="O35" s="333"/>
      <c r="P35" s="297"/>
    </row>
    <row r="37" spans="1:16" x14ac:dyDescent="0.2">
      <c r="H37" s="1"/>
    </row>
  </sheetData>
  <mergeCells count="33">
    <mergeCell ref="B35:J35"/>
    <mergeCell ref="I14:I15"/>
    <mergeCell ref="K35:O35"/>
    <mergeCell ref="J14:L14"/>
    <mergeCell ref="N14:N15"/>
    <mergeCell ref="J34:L34"/>
    <mergeCell ref="A1:P1"/>
    <mergeCell ref="A2:A35"/>
    <mergeCell ref="P2:P35"/>
    <mergeCell ref="B3:C3"/>
    <mergeCell ref="D3:E3"/>
    <mergeCell ref="J3:K3"/>
    <mergeCell ref="B4:H4"/>
    <mergeCell ref="D5:E5"/>
    <mergeCell ref="G3:H3"/>
    <mergeCell ref="F5:H5"/>
    <mergeCell ref="D6:E9"/>
    <mergeCell ref="O14:O15"/>
    <mergeCell ref="M14:M15"/>
    <mergeCell ref="F6:H9"/>
    <mergeCell ref="B7:C7"/>
    <mergeCell ref="B8:C8"/>
    <mergeCell ref="B9:C9"/>
    <mergeCell ref="B13:O13"/>
    <mergeCell ref="B14:B15"/>
    <mergeCell ref="C14:C15"/>
    <mergeCell ref="D14:D15"/>
    <mergeCell ref="E14:E15"/>
    <mergeCell ref="F14:F15"/>
    <mergeCell ref="G14:G15"/>
    <mergeCell ref="H14:H15"/>
    <mergeCell ref="B10:H10"/>
    <mergeCell ref="M3:O12"/>
  </mergeCells>
  <hyperlinks>
    <hyperlink ref="K35" r:id="rId1" display="carnicasokol@gmail.com" xr:uid="{00000000-0004-0000-0000-000000000000}"/>
  </hyperlinks>
  <pageMargins left="0.25" right="0.25" top="0.75" bottom="0.75" header="0.3" footer="0.3"/>
  <pageSetup paperSize="9" orientation="landscape" r:id="rId2"/>
  <ignoredErrors>
    <ignoredError sqref="H34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4E2541-A995-4479-BB0C-1BE4B2F33E76}">
          <x14:formula1>
            <xm:f>Hárok1!$A$2:$A$7</xm:f>
          </x14:formula1>
          <xm:sqref>N16:O32 C16:G32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workbookViewId="0">
      <selection activeCell="A2" sqref="A2"/>
    </sheetView>
  </sheetViews>
  <sheetFormatPr defaultRowHeight="12.75" x14ac:dyDescent="0.2"/>
  <cols>
    <col min="1" max="1" width="21.140625" customWidth="1"/>
    <col min="2" max="2" width="16.140625" customWidth="1"/>
    <col min="3" max="3" width="15.140625" customWidth="1"/>
    <col min="4" max="4" width="14.42578125" customWidth="1"/>
    <col min="5" max="5" width="13.85546875" customWidth="1"/>
  </cols>
  <sheetData>
    <row r="1" spans="1:5" x14ac:dyDescent="0.2">
      <c r="A1" s="198" t="s">
        <v>92</v>
      </c>
      <c r="B1" s="354" t="s">
        <v>93</v>
      </c>
      <c r="C1" s="355"/>
      <c r="D1" s="355"/>
      <c r="E1" s="356"/>
    </row>
    <row r="2" spans="1:5" x14ac:dyDescent="0.2">
      <c r="A2" s="198" t="str">
        <f>UPPER('Karta matky'!B12)</f>
        <v>SOK250001</v>
      </c>
      <c r="B2" s="357"/>
      <c r="C2" s="358"/>
      <c r="D2" s="358"/>
      <c r="E2" s="359"/>
    </row>
    <row r="3" spans="1:5" x14ac:dyDescent="0.2">
      <c r="A3" s="362"/>
      <c r="B3" s="363"/>
      <c r="C3" s="363"/>
      <c r="D3" s="363"/>
      <c r="E3" s="364"/>
    </row>
    <row r="4" spans="1:5" x14ac:dyDescent="0.2">
      <c r="A4" s="195" t="s">
        <v>94</v>
      </c>
      <c r="B4" s="360" t="s">
        <v>93</v>
      </c>
      <c r="C4" s="360"/>
      <c r="D4" s="360"/>
      <c r="E4" s="360"/>
    </row>
    <row r="5" spans="1:5" x14ac:dyDescent="0.2">
      <c r="A5" s="196"/>
      <c r="B5" s="353"/>
      <c r="C5" s="353"/>
      <c r="D5" s="353"/>
      <c r="E5" s="353"/>
    </row>
    <row r="6" spans="1:5" x14ac:dyDescent="0.2">
      <c r="A6" s="196"/>
      <c r="B6" s="353"/>
      <c r="C6" s="353"/>
      <c r="D6" s="353"/>
      <c r="E6" s="353"/>
    </row>
    <row r="7" spans="1:5" x14ac:dyDescent="0.2">
      <c r="A7" s="196"/>
      <c r="B7" s="353"/>
      <c r="C7" s="353"/>
      <c r="D7" s="353"/>
      <c r="E7" s="353"/>
    </row>
    <row r="8" spans="1:5" x14ac:dyDescent="0.2">
      <c r="A8" s="197"/>
      <c r="B8" s="361"/>
      <c r="C8" s="353"/>
      <c r="D8" s="353"/>
      <c r="E8" s="353"/>
    </row>
    <row r="9" spans="1:5" x14ac:dyDescent="0.2">
      <c r="A9" s="196"/>
      <c r="B9" s="353"/>
      <c r="C9" s="353"/>
      <c r="D9" s="353"/>
      <c r="E9" s="353"/>
    </row>
    <row r="10" spans="1:5" x14ac:dyDescent="0.2">
      <c r="A10" s="196"/>
      <c r="B10" s="353"/>
      <c r="C10" s="353"/>
      <c r="D10" s="353"/>
      <c r="E10" s="353"/>
    </row>
    <row r="11" spans="1:5" x14ac:dyDescent="0.2">
      <c r="A11" s="196"/>
      <c r="B11" s="353"/>
      <c r="C11" s="353"/>
      <c r="D11" s="353"/>
      <c r="E11" s="353"/>
    </row>
    <row r="12" spans="1:5" x14ac:dyDescent="0.2">
      <c r="A12" s="196"/>
      <c r="B12" s="353"/>
      <c r="C12" s="353"/>
      <c r="D12" s="353"/>
      <c r="E12" s="353"/>
    </row>
    <row r="13" spans="1:5" x14ac:dyDescent="0.2">
      <c r="A13" s="196"/>
      <c r="B13" s="353"/>
      <c r="C13" s="353"/>
      <c r="D13" s="353"/>
      <c r="E13" s="353"/>
    </row>
    <row r="14" spans="1:5" x14ac:dyDescent="0.2">
      <c r="A14" s="196"/>
      <c r="B14" s="353"/>
      <c r="C14" s="353"/>
      <c r="D14" s="353"/>
      <c r="E14" s="353"/>
    </row>
    <row r="15" spans="1:5" x14ac:dyDescent="0.2">
      <c r="A15" s="196"/>
      <c r="B15" s="353"/>
      <c r="C15" s="353"/>
      <c r="D15" s="353"/>
      <c r="E15" s="353"/>
    </row>
    <row r="16" spans="1:5" x14ac:dyDescent="0.2">
      <c r="A16" s="196"/>
      <c r="B16" s="353"/>
      <c r="C16" s="353"/>
      <c r="D16" s="353"/>
      <c r="E16" s="353"/>
    </row>
    <row r="17" spans="1:5" x14ac:dyDescent="0.2">
      <c r="A17" s="196"/>
      <c r="B17" s="353"/>
      <c r="C17" s="353"/>
      <c r="D17" s="353"/>
      <c r="E17" s="353"/>
    </row>
    <row r="18" spans="1:5" x14ac:dyDescent="0.2">
      <c r="A18" s="196"/>
      <c r="B18" s="353"/>
      <c r="C18" s="353"/>
      <c r="D18" s="353"/>
      <c r="E18" s="353"/>
    </row>
    <row r="19" spans="1:5" x14ac:dyDescent="0.2">
      <c r="A19" s="196"/>
      <c r="B19" s="353"/>
      <c r="C19" s="353"/>
      <c r="D19" s="353"/>
      <c r="E19" s="353"/>
    </row>
    <row r="20" spans="1:5" x14ac:dyDescent="0.2">
      <c r="A20" s="196"/>
      <c r="B20" s="353" t="s">
        <v>203</v>
      </c>
      <c r="C20" s="353"/>
      <c r="D20" s="353"/>
      <c r="E20" s="353"/>
    </row>
    <row r="21" spans="1:5" x14ac:dyDescent="0.2">
      <c r="A21" s="196"/>
      <c r="B21" s="353"/>
      <c r="C21" s="353"/>
      <c r="D21" s="353"/>
      <c r="E21" s="353"/>
    </row>
    <row r="22" spans="1:5" x14ac:dyDescent="0.2">
      <c r="A22" s="196"/>
      <c r="B22" s="353"/>
      <c r="C22" s="353"/>
      <c r="D22" s="353"/>
      <c r="E22" s="353"/>
    </row>
    <row r="23" spans="1:5" x14ac:dyDescent="0.2">
      <c r="A23" s="196"/>
      <c r="B23" s="353"/>
      <c r="C23" s="353"/>
      <c r="D23" s="353"/>
      <c r="E23" s="353"/>
    </row>
    <row r="24" spans="1:5" x14ac:dyDescent="0.2">
      <c r="A24" s="196"/>
      <c r="B24" s="353"/>
      <c r="C24" s="353"/>
      <c r="D24" s="353"/>
      <c r="E24" s="353"/>
    </row>
    <row r="25" spans="1:5" x14ac:dyDescent="0.2">
      <c r="A25" s="196"/>
      <c r="B25" s="353"/>
      <c r="C25" s="353"/>
      <c r="D25" s="353"/>
      <c r="E25" s="353"/>
    </row>
    <row r="26" spans="1:5" x14ac:dyDescent="0.2">
      <c r="A26" s="196"/>
      <c r="B26" s="353"/>
      <c r="C26" s="353"/>
      <c r="D26" s="353"/>
      <c r="E26" s="353"/>
    </row>
    <row r="27" spans="1:5" x14ac:dyDescent="0.2">
      <c r="A27" s="196"/>
      <c r="B27" s="353"/>
      <c r="C27" s="353"/>
      <c r="D27" s="353"/>
      <c r="E27" s="353"/>
    </row>
    <row r="28" spans="1:5" x14ac:dyDescent="0.2">
      <c r="A28" s="196"/>
      <c r="B28" s="353"/>
      <c r="C28" s="353"/>
      <c r="D28" s="353"/>
      <c r="E28" s="353"/>
    </row>
    <row r="29" spans="1:5" x14ac:dyDescent="0.2">
      <c r="A29" s="196"/>
      <c r="B29" s="353"/>
      <c r="C29" s="353"/>
      <c r="D29" s="353"/>
      <c r="E29" s="353"/>
    </row>
    <row r="30" spans="1:5" x14ac:dyDescent="0.2">
      <c r="A30" s="196"/>
      <c r="B30" s="353"/>
      <c r="C30" s="353"/>
      <c r="D30" s="353"/>
      <c r="E30" s="353"/>
    </row>
    <row r="31" spans="1:5" x14ac:dyDescent="0.2">
      <c r="A31" s="196"/>
      <c r="B31" s="353"/>
      <c r="C31" s="353"/>
      <c r="D31" s="353"/>
      <c r="E31" s="353"/>
    </row>
    <row r="32" spans="1:5" x14ac:dyDescent="0.2">
      <c r="A32" s="196"/>
      <c r="B32" s="353"/>
      <c r="C32" s="353"/>
      <c r="D32" s="353"/>
      <c r="E32" s="353"/>
    </row>
    <row r="33" spans="1:5" x14ac:dyDescent="0.2">
      <c r="A33" s="196"/>
      <c r="B33" s="353"/>
      <c r="C33" s="353"/>
      <c r="D33" s="353"/>
      <c r="E33" s="353"/>
    </row>
    <row r="34" spans="1:5" x14ac:dyDescent="0.2">
      <c r="A34" s="365" t="s">
        <v>71</v>
      </c>
      <c r="B34" s="366"/>
      <c r="C34" s="366"/>
      <c r="D34" s="366"/>
      <c r="E34" s="367"/>
    </row>
    <row r="35" spans="1:5" ht="15" customHeight="1" x14ac:dyDescent="0.2">
      <c r="A35" s="368"/>
      <c r="B35" s="369"/>
      <c r="C35" s="369"/>
      <c r="D35" s="369"/>
      <c r="E35" s="370"/>
    </row>
    <row r="36" spans="1:5" x14ac:dyDescent="0.2">
      <c r="A36" s="199" t="s">
        <v>72</v>
      </c>
      <c r="B36" s="199">
        <v>4</v>
      </c>
      <c r="C36" s="199">
        <v>3</v>
      </c>
      <c r="D36" s="199">
        <v>2</v>
      </c>
      <c r="E36" s="199">
        <v>1</v>
      </c>
    </row>
    <row r="37" spans="1:5" ht="27.75" customHeight="1" x14ac:dyDescent="0.2">
      <c r="A37" s="199" t="s">
        <v>22</v>
      </c>
      <c r="B37" s="338" t="s">
        <v>73</v>
      </c>
      <c r="C37" s="338"/>
      <c r="D37" s="338"/>
      <c r="E37" s="338"/>
    </row>
    <row r="38" spans="1:5" x14ac:dyDescent="0.2">
      <c r="A38" s="199" t="s">
        <v>23</v>
      </c>
      <c r="B38" s="200" t="s">
        <v>74</v>
      </c>
      <c r="C38" s="200" t="s">
        <v>75</v>
      </c>
      <c r="D38" s="200" t="s">
        <v>76</v>
      </c>
      <c r="E38" s="200" t="s">
        <v>77</v>
      </c>
    </row>
    <row r="39" spans="1:5" ht="38.25" x14ac:dyDescent="0.2">
      <c r="A39" s="201" t="s">
        <v>90</v>
      </c>
      <c r="B39" s="200" t="s">
        <v>78</v>
      </c>
      <c r="C39" s="200" t="s">
        <v>79</v>
      </c>
      <c r="D39" s="200" t="s">
        <v>80</v>
      </c>
      <c r="E39" s="200" t="s">
        <v>81</v>
      </c>
    </row>
    <row r="40" spans="1:5" ht="25.5" x14ac:dyDescent="0.2">
      <c r="A40" s="201" t="s">
        <v>91</v>
      </c>
      <c r="B40" s="200" t="s">
        <v>82</v>
      </c>
      <c r="C40" s="200" t="s">
        <v>83</v>
      </c>
      <c r="D40" s="200" t="s">
        <v>84</v>
      </c>
      <c r="E40" s="200" t="s">
        <v>85</v>
      </c>
    </row>
    <row r="41" spans="1:5" x14ac:dyDescent="0.2">
      <c r="A41" s="199" t="s">
        <v>26</v>
      </c>
      <c r="B41" s="200" t="s">
        <v>182</v>
      </c>
      <c r="C41" s="200" t="s">
        <v>183</v>
      </c>
      <c r="D41" s="200" t="s">
        <v>184</v>
      </c>
      <c r="E41" s="200" t="s">
        <v>185</v>
      </c>
    </row>
    <row r="42" spans="1:5" x14ac:dyDescent="0.2">
      <c r="A42" s="202" t="s">
        <v>86</v>
      </c>
      <c r="B42" s="350" t="s">
        <v>175</v>
      </c>
      <c r="C42" s="351"/>
      <c r="D42" s="351"/>
      <c r="E42" s="352"/>
    </row>
    <row r="43" spans="1:5" ht="27.75" customHeight="1" x14ac:dyDescent="0.2">
      <c r="A43" s="203" t="s">
        <v>87</v>
      </c>
      <c r="B43" s="338" t="s">
        <v>199</v>
      </c>
      <c r="C43" s="338"/>
      <c r="D43" s="338"/>
      <c r="E43" s="338"/>
    </row>
    <row r="44" spans="1:5" ht="24.75" customHeight="1" x14ac:dyDescent="0.2">
      <c r="A44" s="204" t="s">
        <v>88</v>
      </c>
      <c r="B44" s="339" t="s">
        <v>201</v>
      </c>
      <c r="C44" s="340"/>
      <c r="D44" s="340"/>
      <c r="E44" s="341"/>
    </row>
    <row r="45" spans="1:5" x14ac:dyDescent="0.2">
      <c r="A45" s="342" t="s">
        <v>89</v>
      </c>
      <c r="B45" s="344" t="s">
        <v>200</v>
      </c>
      <c r="C45" s="345"/>
      <c r="D45" s="345"/>
      <c r="E45" s="346"/>
    </row>
    <row r="46" spans="1:5" ht="27.75" customHeight="1" x14ac:dyDescent="0.2">
      <c r="A46" s="343"/>
      <c r="B46" s="347"/>
      <c r="C46" s="348"/>
      <c r="D46" s="348"/>
      <c r="E46" s="349"/>
    </row>
    <row r="47" spans="1:5" ht="38.25" x14ac:dyDescent="0.2">
      <c r="A47" s="202" t="s">
        <v>197</v>
      </c>
      <c r="B47" s="200" t="s">
        <v>189</v>
      </c>
      <c r="C47" s="200" t="s">
        <v>190</v>
      </c>
      <c r="D47" s="200" t="s">
        <v>191</v>
      </c>
      <c r="E47" s="200" t="s">
        <v>192</v>
      </c>
    </row>
    <row r="48" spans="1:5" x14ac:dyDescent="0.2">
      <c r="A48" s="205" t="s">
        <v>188</v>
      </c>
      <c r="B48" s="221" t="s">
        <v>193</v>
      </c>
      <c r="C48" s="221" t="s">
        <v>194</v>
      </c>
      <c r="D48" s="221" t="s">
        <v>195</v>
      </c>
      <c r="E48" s="221" t="s">
        <v>196</v>
      </c>
    </row>
  </sheetData>
  <sheetProtection password="B011" sheet="1" objects="1" scenarios="1"/>
  <mergeCells count="39">
    <mergeCell ref="B33:E33"/>
    <mergeCell ref="A3:E3"/>
    <mergeCell ref="A34:E35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6:E26"/>
    <mergeCell ref="B15:E15"/>
    <mergeCell ref="B16:E16"/>
    <mergeCell ref="B17:E17"/>
    <mergeCell ref="B18:E18"/>
    <mergeCell ref="B19:E19"/>
    <mergeCell ref="B20:E20"/>
    <mergeCell ref="B14:E14"/>
    <mergeCell ref="B1:E2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37:E37"/>
    <mergeCell ref="B43:E43"/>
    <mergeCell ref="B44:E44"/>
    <mergeCell ref="A45:A46"/>
    <mergeCell ref="B45:E46"/>
    <mergeCell ref="B42:E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4B33-C368-42C7-B996-7C19BFB7DF40}">
  <dimension ref="A1:A5"/>
  <sheetViews>
    <sheetView workbookViewId="0">
      <selection activeCell="E8" sqref="E8"/>
    </sheetView>
  </sheetViews>
  <sheetFormatPr defaultRowHeight="12.75" x14ac:dyDescent="0.2"/>
  <cols>
    <col min="1" max="1" width="11.28515625" customWidth="1"/>
  </cols>
  <sheetData>
    <row r="1" spans="1:1" x14ac:dyDescent="0.2">
      <c r="A1" t="s">
        <v>218</v>
      </c>
    </row>
    <row r="2" spans="1:1" x14ac:dyDescent="0.2">
      <c r="A2">
        <v>1</v>
      </c>
    </row>
    <row r="3" spans="1:1" x14ac:dyDescent="0.2">
      <c r="A3">
        <v>2</v>
      </c>
    </row>
    <row r="4" spans="1:1" x14ac:dyDescent="0.2">
      <c r="A4">
        <v>3</v>
      </c>
    </row>
    <row r="5" spans="1:1" x14ac:dyDescent="0.2">
      <c r="A5">
        <v>4</v>
      </c>
    </row>
  </sheetData>
  <autoFilter ref="A1:A5" xr:uid="{5261EA83-CC08-4855-8D90-5C365D518FD1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workbookViewId="0">
      <selection activeCell="Q21" sqref="Q21"/>
    </sheetView>
  </sheetViews>
  <sheetFormatPr defaultRowHeight="12.75" x14ac:dyDescent="0.2"/>
  <cols>
    <col min="1" max="1" width="3.5703125" customWidth="1"/>
    <col min="2" max="2" width="1.5703125" customWidth="1"/>
    <col min="3" max="3" width="22.7109375" customWidth="1"/>
    <col min="4" max="4" width="6.140625" customWidth="1"/>
    <col min="5" max="5" width="12" customWidth="1"/>
    <col min="6" max="8" width="8" customWidth="1"/>
    <col min="9" max="9" width="8.42578125" customWidth="1"/>
    <col min="10" max="10" width="8" customWidth="1"/>
    <col min="11" max="12" width="1.140625" customWidth="1"/>
    <col min="13" max="13" width="21.28515625" customWidth="1"/>
    <col min="14" max="14" width="5" customWidth="1"/>
  </cols>
  <sheetData>
    <row r="1" spans="1:14" ht="26.25" x14ac:dyDescent="0.2">
      <c r="A1" s="382" t="s">
        <v>70</v>
      </c>
      <c r="B1" s="383"/>
      <c r="C1" s="383"/>
      <c r="D1" s="383"/>
      <c r="E1" s="383"/>
      <c r="F1" s="383"/>
      <c r="G1" s="383"/>
      <c r="H1" s="383"/>
      <c r="I1" s="384" t="str">
        <f>UPPER(B3)</f>
        <v>SOK250001</v>
      </c>
      <c r="J1" s="384"/>
      <c r="K1" s="384"/>
      <c r="L1" s="384"/>
      <c r="M1" s="94"/>
      <c r="N1" s="93"/>
    </row>
    <row r="2" spans="1:14" ht="26.25" x14ac:dyDescent="0.2">
      <c r="A2" s="21"/>
      <c r="B2" s="385" t="s">
        <v>67</v>
      </c>
      <c r="C2" s="386"/>
      <c r="D2" s="387" t="s">
        <v>17</v>
      </c>
      <c r="E2" s="388"/>
      <c r="F2" s="387" t="s">
        <v>68</v>
      </c>
      <c r="G2" s="388"/>
      <c r="H2" s="389" t="s">
        <v>69</v>
      </c>
      <c r="I2" s="390"/>
      <c r="J2" s="391" t="s">
        <v>20</v>
      </c>
      <c r="K2" s="392"/>
      <c r="L2" s="91"/>
      <c r="M2" s="92"/>
      <c r="N2" s="22"/>
    </row>
    <row r="3" spans="1:14" ht="15.75" x14ac:dyDescent="0.2">
      <c r="A3" s="23"/>
      <c r="B3" s="393" t="str">
        <f>UPPER('Karta matky'!B12)</f>
        <v>SOK250001</v>
      </c>
      <c r="C3" s="393"/>
      <c r="D3" s="394" t="str">
        <f>UPPER('Karta matky'!C12)</f>
        <v/>
      </c>
      <c r="E3" s="394"/>
      <c r="F3" s="394" t="str">
        <f>UPPER('Karta matky'!D12)</f>
        <v/>
      </c>
      <c r="G3" s="394"/>
      <c r="H3" s="394" t="str">
        <f>UPPER('Karta matky'!E12)</f>
        <v/>
      </c>
      <c r="I3" s="394"/>
      <c r="J3" s="395">
        <f>VALUE('Karta matky'!H12)</f>
        <v>0</v>
      </c>
      <c r="K3" s="395"/>
      <c r="L3" s="27"/>
      <c r="M3" s="28"/>
      <c r="N3" s="24"/>
    </row>
    <row r="4" spans="1:14" ht="21.75" customHeight="1" thickBot="1" x14ac:dyDescent="0.25">
      <c r="A4" s="23"/>
      <c r="B4" s="371" t="s">
        <v>35</v>
      </c>
      <c r="C4" s="372"/>
      <c r="D4" s="372"/>
      <c r="E4" s="372"/>
      <c r="F4" s="372"/>
      <c r="G4" s="372"/>
      <c r="H4" s="372"/>
      <c r="I4" s="372"/>
      <c r="J4" s="372"/>
      <c r="K4" s="373"/>
      <c r="L4" s="27"/>
      <c r="M4" s="29" t="s">
        <v>36</v>
      </c>
      <c r="N4" s="24"/>
    </row>
    <row r="5" spans="1:14" ht="17.25" thickTop="1" thickBot="1" x14ac:dyDescent="0.25">
      <c r="A5" s="23"/>
      <c r="B5" s="25"/>
      <c r="C5" s="30" t="s">
        <v>37</v>
      </c>
      <c r="D5" s="27"/>
      <c r="E5" s="31"/>
      <c r="F5" s="27"/>
      <c r="G5" s="32" t="s">
        <v>202</v>
      </c>
      <c r="H5" s="33">
        <v>12</v>
      </c>
      <c r="I5" s="34" t="s">
        <v>38</v>
      </c>
      <c r="J5" s="27"/>
      <c r="K5" s="28"/>
      <c r="L5" s="27"/>
      <c r="M5" s="35" t="str">
        <f>IF(H5=12,"",IF(H5=24,"","I musí biť 12 alebo 24"))</f>
        <v/>
      </c>
      <c r="N5" s="24"/>
    </row>
    <row r="6" spans="1:14" ht="17.25" thickTop="1" thickBot="1" x14ac:dyDescent="0.25">
      <c r="A6" s="23"/>
      <c r="B6" s="25"/>
      <c r="C6" s="30" t="s">
        <v>39</v>
      </c>
      <c r="D6" s="31"/>
      <c r="E6" s="31"/>
      <c r="F6" s="27"/>
      <c r="G6" s="32" t="s">
        <v>40</v>
      </c>
      <c r="H6" s="33">
        <v>60</v>
      </c>
      <c r="I6" s="36"/>
      <c r="J6" s="27"/>
      <c r="K6" s="28"/>
      <c r="L6" s="27"/>
      <c r="M6" s="35" t="str">
        <f>IF(H5=12,IF(F10&lt;12,IF(F11&lt;12,"Chybný čas t1",IF(F12&gt;12,"Chybný čas t2",IF(F13&lt;12,"Chybný čas t3",""))),IF(F11&gt;12,"Chybný čas t1",IF(F12&lt;12,"Chybný čas t2",IF(F13&gt;12,"Chybný čas t3"," "))))," ")</f>
        <v/>
      </c>
      <c r="N6" s="24"/>
    </row>
    <row r="7" spans="1:14" ht="13.5" thickTop="1" x14ac:dyDescent="0.2">
      <c r="A7" s="23"/>
      <c r="B7" s="37"/>
      <c r="C7" s="38"/>
      <c r="D7" s="39"/>
      <c r="E7" s="39"/>
      <c r="F7" s="40"/>
      <c r="G7" s="41"/>
      <c r="H7" s="38"/>
      <c r="I7" s="38"/>
      <c r="J7" s="38"/>
      <c r="K7" s="42"/>
      <c r="L7" s="27"/>
      <c r="M7" s="28"/>
      <c r="N7" s="24"/>
    </row>
    <row r="8" spans="1:14" x14ac:dyDescent="0.2">
      <c r="A8" s="23"/>
      <c r="B8" s="25"/>
      <c r="C8" s="27"/>
      <c r="D8" s="31"/>
      <c r="E8" s="31"/>
      <c r="F8" s="32"/>
      <c r="G8" s="43"/>
      <c r="H8" s="27"/>
      <c r="I8" s="27"/>
      <c r="J8" s="27"/>
      <c r="K8" s="28"/>
      <c r="L8" s="27"/>
      <c r="M8" s="28"/>
      <c r="N8" s="24"/>
    </row>
    <row r="9" spans="1:14" ht="15.75" thickBot="1" x14ac:dyDescent="0.3">
      <c r="A9" s="23"/>
      <c r="B9" s="25"/>
      <c r="C9" s="26"/>
      <c r="D9" s="27"/>
      <c r="E9" s="32" t="s">
        <v>41</v>
      </c>
      <c r="F9" s="32" t="s">
        <v>42</v>
      </c>
      <c r="G9" s="44" t="s">
        <v>43</v>
      </c>
      <c r="H9" s="45"/>
      <c r="I9" s="381" t="s">
        <v>44</v>
      </c>
      <c r="J9" s="381"/>
      <c r="K9" s="46"/>
      <c r="L9" s="47"/>
      <c r="M9" s="28"/>
      <c r="N9" s="24"/>
    </row>
    <row r="10" spans="1:14" ht="14.25" thickTop="1" thickBot="1" x14ac:dyDescent="0.25">
      <c r="A10" s="23"/>
      <c r="B10" s="25"/>
      <c r="C10" s="48" t="s">
        <v>45</v>
      </c>
      <c r="D10" s="49" t="s">
        <v>46</v>
      </c>
      <c r="E10" s="50">
        <v>43594</v>
      </c>
      <c r="F10" s="51">
        <v>6</v>
      </c>
      <c r="G10" s="52" t="s">
        <v>47</v>
      </c>
      <c r="H10" s="51">
        <v>0</v>
      </c>
      <c r="I10" s="53"/>
      <c r="J10" s="53"/>
      <c r="K10" s="54"/>
      <c r="L10" s="53"/>
      <c r="M10" s="35" t="str">
        <f>IF(H10&lt;0,"N0 nesmie biť záporná"," ")</f>
        <v xml:space="preserve"> </v>
      </c>
      <c r="N10" s="24"/>
    </row>
    <row r="11" spans="1:14" ht="14.25" thickTop="1" thickBot="1" x14ac:dyDescent="0.25">
      <c r="A11" s="23"/>
      <c r="B11" s="25"/>
      <c r="C11" s="48" t="s">
        <v>48</v>
      </c>
      <c r="D11" s="49" t="s">
        <v>49</v>
      </c>
      <c r="E11" s="55">
        <f>IF(H5=12,IF(F10&gt;12,E10+1,E10),E10+1)</f>
        <v>43594</v>
      </c>
      <c r="F11" s="51">
        <v>18</v>
      </c>
      <c r="G11" s="52" t="s">
        <v>50</v>
      </c>
      <c r="H11" s="51">
        <v>36</v>
      </c>
      <c r="I11" s="53"/>
      <c r="J11" s="53"/>
      <c r="K11" s="54"/>
      <c r="L11" s="53"/>
      <c r="M11" s="35" t="str">
        <f>IF(H10&gt;0,IF(H10&gt;H11,"N1 nesmie biť &lt; N0"," ")," ")</f>
        <v xml:space="preserve"> </v>
      </c>
      <c r="N11" s="24"/>
    </row>
    <row r="12" spans="1:14" ht="14.25" thickTop="1" thickBot="1" x14ac:dyDescent="0.25">
      <c r="A12" s="23"/>
      <c r="B12" s="25"/>
      <c r="C12" s="48" t="s">
        <v>51</v>
      </c>
      <c r="D12" s="49" t="s">
        <v>52</v>
      </c>
      <c r="E12" s="55">
        <f>IF(H5=12,IF(F11&gt;12,E11+1,E11),E11+1)</f>
        <v>43595</v>
      </c>
      <c r="F12" s="51">
        <v>8</v>
      </c>
      <c r="G12" s="52" t="s">
        <v>53</v>
      </c>
      <c r="H12" s="51">
        <v>40</v>
      </c>
      <c r="I12" s="53"/>
      <c r="J12" s="53"/>
      <c r="K12" s="54"/>
      <c r="L12" s="53"/>
      <c r="M12" s="35" t="str">
        <f>IF(H12&gt;0,IF(H11&gt;H12,"N2 nesmie biť &lt; N1"," ")," ")</f>
        <v xml:space="preserve"> </v>
      </c>
      <c r="N12" s="24"/>
    </row>
    <row r="13" spans="1:14" ht="14.25" thickTop="1" thickBot="1" x14ac:dyDescent="0.25">
      <c r="A13" s="23"/>
      <c r="B13" s="25"/>
      <c r="C13" s="48" t="s">
        <v>54</v>
      </c>
      <c r="D13" s="49" t="s">
        <v>55</v>
      </c>
      <c r="E13" s="55">
        <f>IF(H5=12,IF(F12&gt;12,E12+1,E12),E12+1)</f>
        <v>43595</v>
      </c>
      <c r="F13" s="51">
        <v>20</v>
      </c>
      <c r="G13" s="52" t="s">
        <v>56</v>
      </c>
      <c r="H13" s="51">
        <v>45</v>
      </c>
      <c r="I13" s="52" t="s">
        <v>57</v>
      </c>
      <c r="J13" s="51">
        <v>6</v>
      </c>
      <c r="K13" s="56"/>
      <c r="L13" s="57"/>
      <c r="M13" s="35" t="str">
        <f>IF(H13&gt;0,IF(H12&gt;H13,"N3 nesmie biť &lt; N2"," ")," ")</f>
        <v xml:space="preserve"> </v>
      </c>
      <c r="N13" s="24"/>
    </row>
    <row r="14" spans="1:14" ht="13.5" thickTop="1" x14ac:dyDescent="0.2">
      <c r="A14" s="23"/>
      <c r="B14" s="37"/>
      <c r="C14" s="58"/>
      <c r="D14" s="59"/>
      <c r="E14" s="60"/>
      <c r="F14" s="61"/>
      <c r="G14" s="62"/>
      <c r="H14" s="61"/>
      <c r="I14" s="62"/>
      <c r="J14" s="61"/>
      <c r="K14" s="63"/>
      <c r="L14" s="64"/>
      <c r="M14" s="65"/>
      <c r="N14" s="24"/>
    </row>
    <row r="15" spans="1:14" x14ac:dyDescent="0.2">
      <c r="A15" s="23"/>
      <c r="B15" s="272"/>
      <c r="C15" s="260"/>
      <c r="D15" s="261"/>
      <c r="E15" s="262"/>
      <c r="F15" s="263"/>
      <c r="G15" s="264"/>
      <c r="H15" s="265"/>
      <c r="I15" s="264"/>
      <c r="J15" s="263"/>
      <c r="K15" s="270"/>
      <c r="L15" s="66"/>
      <c r="M15" s="67"/>
      <c r="N15" s="24"/>
    </row>
    <row r="16" spans="1:14" ht="18" x14ac:dyDescent="0.2">
      <c r="A16" s="23"/>
      <c r="B16" s="272"/>
      <c r="C16" s="376" t="s">
        <v>217</v>
      </c>
      <c r="D16" s="376"/>
      <c r="E16" s="274">
        <f>SUM(1*H13)/(H6-J13)</f>
        <v>0.83333333333333337</v>
      </c>
      <c r="F16" s="376" t="s">
        <v>58</v>
      </c>
      <c r="G16" s="376"/>
      <c r="H16" s="377"/>
      <c r="I16" s="266" t="s">
        <v>59</v>
      </c>
      <c r="J16" s="95">
        <f>((H11-H10)*(E18/2)+(H12-H11)*(E18+E19)/2+(H13-H12)*(E19+E20)/2+(H6-H13-J13)*(E20+H5/2))/(H6-H10-J13)+((J13*E20)/(H13-H10))</f>
        <v>20.770370370370372</v>
      </c>
      <c r="K16" s="68"/>
      <c r="L16" s="69"/>
      <c r="M16" s="35" t="str">
        <f>IF(J13&gt;0, IF(H13+J13&gt;H6,"NL+N3 nesmie biť &gt; P"," ")," ")</f>
        <v xml:space="preserve"> </v>
      </c>
      <c r="N16" s="24"/>
    </row>
    <row r="17" spans="1:14" ht="18" x14ac:dyDescent="0.25">
      <c r="A17" s="23"/>
      <c r="B17" s="273"/>
      <c r="C17" s="267" t="s">
        <v>198</v>
      </c>
      <c r="D17" s="268"/>
      <c r="E17" s="268"/>
      <c r="F17" s="269"/>
      <c r="G17" s="268"/>
      <c r="H17" s="268"/>
      <c r="I17" s="374">
        <f>SUM(H6-(J16))/(H5)*(10*E16)/10</f>
        <v>2.7242798353909463</v>
      </c>
      <c r="J17" s="375"/>
      <c r="K17" s="271"/>
      <c r="L17" s="70"/>
      <c r="M17" s="42" t="str">
        <f>IF(H13&gt;H6,"N3 nesmie biť &gt; P"," ")</f>
        <v xml:space="preserve"> </v>
      </c>
      <c r="N17" s="24"/>
    </row>
    <row r="18" spans="1:14" x14ac:dyDescent="0.2">
      <c r="A18" s="23"/>
      <c r="B18" s="71"/>
      <c r="C18" s="72" t="s">
        <v>60</v>
      </c>
      <c r="D18" s="73" t="s">
        <v>61</v>
      </c>
      <c r="E18" s="74">
        <f>IF(H5=24, F11-F10+H5, IF(E10=E11,F11-F10,F11-F10+24))</f>
        <v>12</v>
      </c>
      <c r="F18" s="75"/>
      <c r="G18" s="75"/>
      <c r="H18" s="75"/>
      <c r="I18" s="96" t="s">
        <v>102</v>
      </c>
      <c r="J18" s="75"/>
      <c r="K18" s="75"/>
      <c r="L18" s="75"/>
      <c r="M18" s="75"/>
      <c r="N18" s="24"/>
    </row>
    <row r="19" spans="1:14" x14ac:dyDescent="0.2">
      <c r="A19" s="23"/>
      <c r="B19" s="76"/>
      <c r="C19" s="77" t="s">
        <v>62</v>
      </c>
      <c r="D19" s="78" t="s">
        <v>63</v>
      </c>
      <c r="E19" s="79">
        <f>F12-F10+2*H5</f>
        <v>26</v>
      </c>
      <c r="F19" s="75"/>
      <c r="G19" s="80"/>
      <c r="H19" s="75"/>
      <c r="I19" s="81" t="s">
        <v>103</v>
      </c>
      <c r="J19" s="81"/>
      <c r="K19" s="81"/>
      <c r="L19" s="81"/>
      <c r="M19" s="81"/>
      <c r="N19" s="24"/>
    </row>
    <row r="20" spans="1:14" ht="15" x14ac:dyDescent="0.25">
      <c r="A20" s="23"/>
      <c r="B20" s="82"/>
      <c r="C20" s="83" t="s">
        <v>64</v>
      </c>
      <c r="D20" s="84" t="s">
        <v>65</v>
      </c>
      <c r="E20" s="85">
        <f>IF(H5=24,F13-F10+3*H5,IF(E13=E12,F13-F10+2*H5,F13-F10+4*H5))</f>
        <v>38</v>
      </c>
      <c r="F20" s="75"/>
      <c r="G20" s="80"/>
      <c r="H20" s="75"/>
      <c r="I20" s="86" t="s">
        <v>66</v>
      </c>
      <c r="J20" s="81"/>
      <c r="K20" s="81"/>
      <c r="L20" s="81"/>
      <c r="M20" s="81"/>
      <c r="N20" s="24"/>
    </row>
    <row r="21" spans="1:14" x14ac:dyDescent="0.2">
      <c r="A21" s="23"/>
      <c r="B21" s="75"/>
      <c r="C21" s="75"/>
      <c r="D21" s="75"/>
      <c r="E21" s="75"/>
      <c r="F21" s="75"/>
      <c r="G21" s="75"/>
      <c r="H21" s="75"/>
      <c r="I21" s="81"/>
      <c r="J21" s="81"/>
      <c r="K21" s="81"/>
      <c r="L21" s="81"/>
      <c r="M21" s="81"/>
      <c r="N21" s="24"/>
    </row>
    <row r="22" spans="1:14" ht="15" x14ac:dyDescent="0.2">
      <c r="A22" s="378" t="s">
        <v>104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80"/>
    </row>
    <row r="23" spans="1:14" ht="13.5" thickBot="1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</row>
    <row r="26" spans="1:14" x14ac:dyDescent="0.2">
      <c r="C26" s="90"/>
    </row>
    <row r="27" spans="1:14" x14ac:dyDescent="0.2">
      <c r="C27" s="1"/>
    </row>
    <row r="28" spans="1:14" x14ac:dyDescent="0.2">
      <c r="C28" s="1"/>
    </row>
    <row r="29" spans="1:14" x14ac:dyDescent="0.2">
      <c r="C29" s="1"/>
    </row>
    <row r="30" spans="1:14" x14ac:dyDescent="0.2">
      <c r="C30" s="1"/>
    </row>
    <row r="31" spans="1:14" x14ac:dyDescent="0.2">
      <c r="C31" s="1"/>
    </row>
    <row r="32" spans="1:14" x14ac:dyDescent="0.2">
      <c r="D32" s="1"/>
      <c r="H32" s="1"/>
    </row>
    <row r="33" spans="3:8" x14ac:dyDescent="0.2">
      <c r="C33" s="1"/>
    </row>
    <row r="34" spans="3:8" x14ac:dyDescent="0.2">
      <c r="C34" s="1"/>
    </row>
    <row r="35" spans="3:8" x14ac:dyDescent="0.2">
      <c r="C35" s="1"/>
    </row>
    <row r="37" spans="3:8" x14ac:dyDescent="0.2">
      <c r="C37" s="90"/>
      <c r="D37" s="1"/>
      <c r="H37" s="1"/>
    </row>
    <row r="38" spans="3:8" x14ac:dyDescent="0.2">
      <c r="C38" s="1"/>
    </row>
    <row r="39" spans="3:8" x14ac:dyDescent="0.2">
      <c r="C39" s="1"/>
    </row>
    <row r="40" spans="3:8" x14ac:dyDescent="0.2">
      <c r="C40" s="1"/>
    </row>
    <row r="42" spans="3:8" x14ac:dyDescent="0.2">
      <c r="D42" s="1"/>
      <c r="H42" s="1"/>
    </row>
    <row r="43" spans="3:8" x14ac:dyDescent="0.2">
      <c r="C43" s="1"/>
    </row>
    <row r="44" spans="3:8" x14ac:dyDescent="0.2">
      <c r="C44" s="1"/>
    </row>
    <row r="45" spans="3:8" x14ac:dyDescent="0.2">
      <c r="C45" s="1"/>
    </row>
  </sheetData>
  <sheetProtection password="B011" sheet="1" objects="1" scenarios="1"/>
  <mergeCells count="18">
    <mergeCell ref="B3:C3"/>
    <mergeCell ref="D3:E3"/>
    <mergeCell ref="F3:G3"/>
    <mergeCell ref="H3:I3"/>
    <mergeCell ref="J3:K3"/>
    <mergeCell ref="A1:H1"/>
    <mergeCell ref="I1:L1"/>
    <mergeCell ref="B2:C2"/>
    <mergeCell ref="D2:E2"/>
    <mergeCell ref="F2:G2"/>
    <mergeCell ref="H2:I2"/>
    <mergeCell ref="J2:K2"/>
    <mergeCell ref="B4:K4"/>
    <mergeCell ref="I17:J17"/>
    <mergeCell ref="F16:H16"/>
    <mergeCell ref="C16:D16"/>
    <mergeCell ref="A22:N22"/>
    <mergeCell ref="I9:J9"/>
  </mergeCells>
  <hyperlinks>
    <hyperlink ref="I20" r:id="rId1" xr:uid="{00000000-0004-0000-0200-000000000000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workbookViewId="0">
      <selection activeCell="F25" sqref="F25"/>
    </sheetView>
  </sheetViews>
  <sheetFormatPr defaultRowHeight="12.75" x14ac:dyDescent="0.2"/>
  <cols>
    <col min="1" max="1" width="3.5703125" customWidth="1"/>
    <col min="2" max="2" width="1.5703125" customWidth="1"/>
    <col min="3" max="3" width="22.7109375" customWidth="1"/>
    <col min="4" max="4" width="6.140625" customWidth="1"/>
    <col min="5" max="5" width="12" customWidth="1"/>
    <col min="6" max="8" width="8" customWidth="1"/>
    <col min="9" max="9" width="8.42578125" customWidth="1"/>
    <col min="10" max="10" width="8" customWidth="1"/>
    <col min="11" max="12" width="1.140625" customWidth="1"/>
    <col min="13" max="13" width="21.28515625" customWidth="1"/>
    <col min="14" max="14" width="5" customWidth="1"/>
  </cols>
  <sheetData>
    <row r="1" spans="1:14" ht="26.25" x14ac:dyDescent="0.2">
      <c r="A1" s="382" t="s">
        <v>70</v>
      </c>
      <c r="B1" s="383"/>
      <c r="C1" s="383"/>
      <c r="D1" s="383"/>
      <c r="E1" s="383"/>
      <c r="F1" s="383"/>
      <c r="G1" s="383"/>
      <c r="H1" s="383"/>
      <c r="I1" s="384" t="str">
        <f>UPPER(B3)</f>
        <v>SOK250001</v>
      </c>
      <c r="J1" s="384"/>
      <c r="K1" s="384"/>
      <c r="L1" s="384"/>
      <c r="M1" s="94"/>
      <c r="N1" s="93"/>
    </row>
    <row r="2" spans="1:14" ht="26.25" customHeight="1" x14ac:dyDescent="0.2">
      <c r="A2" s="21"/>
      <c r="B2" s="385" t="s">
        <v>67</v>
      </c>
      <c r="C2" s="386"/>
      <c r="D2" s="387" t="s">
        <v>17</v>
      </c>
      <c r="E2" s="388"/>
      <c r="F2" s="387" t="s">
        <v>68</v>
      </c>
      <c r="G2" s="388"/>
      <c r="H2" s="389" t="s">
        <v>69</v>
      </c>
      <c r="I2" s="390"/>
      <c r="J2" s="391" t="s">
        <v>20</v>
      </c>
      <c r="K2" s="392"/>
      <c r="L2" s="91"/>
      <c r="M2" s="92"/>
      <c r="N2" s="22"/>
    </row>
    <row r="3" spans="1:14" ht="15.75" x14ac:dyDescent="0.2">
      <c r="A3" s="23"/>
      <c r="B3" s="393" t="str">
        <f>UPPER('Karta matky'!B12)</f>
        <v>SOK250001</v>
      </c>
      <c r="C3" s="393"/>
      <c r="D3" s="394" t="str">
        <f>UPPER('Karta matky'!C12)</f>
        <v/>
      </c>
      <c r="E3" s="394"/>
      <c r="F3" s="394" t="str">
        <f>UPPER('Karta matky'!D12)</f>
        <v/>
      </c>
      <c r="G3" s="394"/>
      <c r="H3" s="394" t="str">
        <f>UPPER('Karta matky'!E12)</f>
        <v/>
      </c>
      <c r="I3" s="394"/>
      <c r="J3" s="395">
        <f>VALUE('Karta matky'!H12)</f>
        <v>0</v>
      </c>
      <c r="K3" s="395"/>
      <c r="L3" s="27"/>
      <c r="M3" s="28"/>
      <c r="N3" s="24"/>
    </row>
    <row r="4" spans="1:14" ht="21.75" customHeight="1" thickBot="1" x14ac:dyDescent="0.25">
      <c r="A4" s="23"/>
      <c r="B4" s="371" t="s">
        <v>35</v>
      </c>
      <c r="C4" s="372"/>
      <c r="D4" s="372"/>
      <c r="E4" s="372"/>
      <c r="F4" s="372"/>
      <c r="G4" s="372"/>
      <c r="H4" s="372"/>
      <c r="I4" s="372"/>
      <c r="J4" s="372"/>
      <c r="K4" s="373"/>
      <c r="L4" s="27"/>
      <c r="M4" s="29" t="s">
        <v>36</v>
      </c>
      <c r="N4" s="24"/>
    </row>
    <row r="5" spans="1:14" ht="17.25" thickTop="1" thickBot="1" x14ac:dyDescent="0.25">
      <c r="A5" s="23"/>
      <c r="B5" s="25"/>
      <c r="C5" s="30" t="s">
        <v>37</v>
      </c>
      <c r="D5" s="27"/>
      <c r="E5" s="31"/>
      <c r="F5" s="27"/>
      <c r="G5" s="32" t="s">
        <v>202</v>
      </c>
      <c r="H5" s="33">
        <v>12</v>
      </c>
      <c r="I5" s="34" t="s">
        <v>38</v>
      </c>
      <c r="J5" s="27"/>
      <c r="K5" s="28"/>
      <c r="L5" s="27"/>
      <c r="M5" s="35" t="str">
        <f>IF(H5=12,"",IF(H5=24,"","I musí biť 12 alebo 24"))</f>
        <v/>
      </c>
      <c r="N5" s="24"/>
    </row>
    <row r="6" spans="1:14" ht="17.25" thickTop="1" thickBot="1" x14ac:dyDescent="0.25">
      <c r="A6" s="23"/>
      <c r="B6" s="25"/>
      <c r="C6" s="30" t="s">
        <v>39</v>
      </c>
      <c r="D6" s="31"/>
      <c r="E6" s="31"/>
      <c r="F6" s="27"/>
      <c r="G6" s="32" t="s">
        <v>40</v>
      </c>
      <c r="H6" s="33">
        <v>50</v>
      </c>
      <c r="I6" s="36"/>
      <c r="J6" s="27"/>
      <c r="K6" s="28"/>
      <c r="L6" s="27"/>
      <c r="M6" s="35" t="str">
        <f>IF(H5=12,IF(F10&lt;12,IF(F11&lt;12,"Chybný čas t1",IF(F12&gt;12,"Chybný čas t2",IF(F13&lt;12,"Chybný čas t3",""))),IF(F11&gt;12,"Chybný čas t1",IF(F12&lt;12,"Chybný čas t2",IF(F13&gt;12,"Chybný čas t3"," "))))," ")</f>
        <v/>
      </c>
      <c r="N6" s="24"/>
    </row>
    <row r="7" spans="1:14" ht="13.5" thickTop="1" x14ac:dyDescent="0.2">
      <c r="A7" s="23"/>
      <c r="B7" s="37"/>
      <c r="C7" s="38"/>
      <c r="D7" s="39"/>
      <c r="E7" s="39"/>
      <c r="F7" s="40"/>
      <c r="G7" s="41"/>
      <c r="H7" s="38"/>
      <c r="I7" s="38"/>
      <c r="J7" s="38"/>
      <c r="K7" s="42"/>
      <c r="L7" s="27"/>
      <c r="M7" s="28"/>
      <c r="N7" s="24"/>
    </row>
    <row r="8" spans="1:14" x14ac:dyDescent="0.2">
      <c r="A8" s="23"/>
      <c r="B8" s="25"/>
      <c r="C8" s="27"/>
      <c r="D8" s="31"/>
      <c r="E8" s="31"/>
      <c r="F8" s="32"/>
      <c r="G8" s="43"/>
      <c r="H8" s="27"/>
      <c r="I8" s="27"/>
      <c r="J8" s="27"/>
      <c r="K8" s="28"/>
      <c r="L8" s="27"/>
      <c r="M8" s="28"/>
      <c r="N8" s="24"/>
    </row>
    <row r="9" spans="1:14" ht="15.75" thickBot="1" x14ac:dyDescent="0.3">
      <c r="A9" s="23"/>
      <c r="B9" s="25"/>
      <c r="C9" s="26"/>
      <c r="D9" s="27"/>
      <c r="E9" s="32" t="s">
        <v>41</v>
      </c>
      <c r="F9" s="32" t="s">
        <v>42</v>
      </c>
      <c r="G9" s="44" t="s">
        <v>43</v>
      </c>
      <c r="H9" s="45"/>
      <c r="I9" s="381" t="s">
        <v>44</v>
      </c>
      <c r="J9" s="381"/>
      <c r="K9" s="46"/>
      <c r="L9" s="47"/>
      <c r="M9" s="28"/>
      <c r="N9" s="24"/>
    </row>
    <row r="10" spans="1:14" ht="14.25" thickTop="1" thickBot="1" x14ac:dyDescent="0.25">
      <c r="A10" s="23"/>
      <c r="B10" s="25"/>
      <c r="C10" s="48" t="s">
        <v>45</v>
      </c>
      <c r="D10" s="49" t="s">
        <v>46</v>
      </c>
      <c r="E10" s="50">
        <v>43666</v>
      </c>
      <c r="F10" s="51">
        <v>7</v>
      </c>
      <c r="G10" s="52" t="s">
        <v>47</v>
      </c>
      <c r="H10" s="51">
        <v>0</v>
      </c>
      <c r="I10" s="53"/>
      <c r="J10" s="53"/>
      <c r="K10" s="54"/>
      <c r="L10" s="53"/>
      <c r="M10" s="35" t="str">
        <f>IF(H10&lt;0,"N0 nesmie biť záporná"," ")</f>
        <v xml:space="preserve"> </v>
      </c>
      <c r="N10" s="24"/>
    </row>
    <row r="11" spans="1:14" ht="14.25" thickTop="1" thickBot="1" x14ac:dyDescent="0.25">
      <c r="A11" s="23"/>
      <c r="B11" s="25"/>
      <c r="C11" s="48" t="s">
        <v>48</v>
      </c>
      <c r="D11" s="49" t="s">
        <v>49</v>
      </c>
      <c r="E11" s="55">
        <f>IF(H5=12,IF(F10&gt;12,E10+1,E10),E10+1)</f>
        <v>43666</v>
      </c>
      <c r="F11" s="51">
        <v>13</v>
      </c>
      <c r="G11" s="52" t="s">
        <v>50</v>
      </c>
      <c r="H11" s="51">
        <v>35</v>
      </c>
      <c r="I11" s="53"/>
      <c r="J11" s="53"/>
      <c r="K11" s="54"/>
      <c r="L11" s="53"/>
      <c r="M11" s="35" t="str">
        <f>IF(H10&gt;0,IF(H10&gt;H11,"N1 nesmie biť &lt; N0"," ")," ")</f>
        <v xml:space="preserve"> </v>
      </c>
      <c r="N11" s="24"/>
    </row>
    <row r="12" spans="1:14" ht="14.25" thickTop="1" thickBot="1" x14ac:dyDescent="0.25">
      <c r="A12" s="23"/>
      <c r="B12" s="25"/>
      <c r="C12" s="48" t="s">
        <v>51</v>
      </c>
      <c r="D12" s="49" t="s">
        <v>52</v>
      </c>
      <c r="E12" s="55">
        <f>IF(H5=12,IF(F11&gt;12,E11+1,E11),E11+1)</f>
        <v>43667</v>
      </c>
      <c r="F12" s="51">
        <v>9</v>
      </c>
      <c r="G12" s="52" t="s">
        <v>53</v>
      </c>
      <c r="H12" s="51">
        <v>40</v>
      </c>
      <c r="I12" s="53"/>
      <c r="J12" s="53"/>
      <c r="K12" s="54"/>
      <c r="L12" s="53"/>
      <c r="M12" s="35" t="str">
        <f>IF(H12&gt;0,IF(H11&gt;H12,"N2 nesmie biť &lt; N1"," ")," ")</f>
        <v xml:space="preserve"> </v>
      </c>
      <c r="N12" s="24"/>
    </row>
    <row r="13" spans="1:14" ht="14.25" thickTop="1" thickBot="1" x14ac:dyDescent="0.25">
      <c r="A13" s="23"/>
      <c r="B13" s="25"/>
      <c r="C13" s="48" t="s">
        <v>54</v>
      </c>
      <c r="D13" s="49" t="s">
        <v>55</v>
      </c>
      <c r="E13" s="55">
        <f>IF(H5=12,IF(F12&gt;12,E12+1,E12),E12+1)</f>
        <v>43667</v>
      </c>
      <c r="F13" s="51">
        <v>18</v>
      </c>
      <c r="G13" s="52" t="s">
        <v>56</v>
      </c>
      <c r="H13" s="51">
        <v>44</v>
      </c>
      <c r="I13" s="52" t="s">
        <v>57</v>
      </c>
      <c r="J13" s="51">
        <v>4</v>
      </c>
      <c r="K13" s="56"/>
      <c r="L13" s="57"/>
      <c r="M13" s="35" t="str">
        <f>IF(H13&gt;0,IF(H12&gt;H13,"N3 nesmie biť &lt; N2"," ")," ")</f>
        <v xml:space="preserve"> </v>
      </c>
      <c r="N13" s="24"/>
    </row>
    <row r="14" spans="1:14" ht="13.5" thickTop="1" x14ac:dyDescent="0.2">
      <c r="A14" s="23"/>
      <c r="B14" s="37"/>
      <c r="C14" s="58"/>
      <c r="D14" s="59"/>
      <c r="E14" s="60"/>
      <c r="F14" s="61"/>
      <c r="G14" s="62"/>
      <c r="H14" s="61"/>
      <c r="I14" s="62"/>
      <c r="J14" s="61"/>
      <c r="K14" s="63"/>
      <c r="L14" s="64"/>
      <c r="M14" s="65"/>
      <c r="N14" s="24"/>
    </row>
    <row r="15" spans="1:14" x14ac:dyDescent="0.2">
      <c r="A15" s="23"/>
      <c r="B15" s="272"/>
      <c r="C15" s="260"/>
      <c r="D15" s="261"/>
      <c r="E15" s="262"/>
      <c r="F15" s="263"/>
      <c r="G15" s="264"/>
      <c r="H15" s="265"/>
      <c r="I15" s="264"/>
      <c r="J15" s="263"/>
      <c r="K15" s="270"/>
      <c r="L15" s="66"/>
      <c r="M15" s="67"/>
      <c r="N15" s="24"/>
    </row>
    <row r="16" spans="1:14" ht="18" x14ac:dyDescent="0.2">
      <c r="A16" s="23"/>
      <c r="B16" s="272"/>
      <c r="C16" s="376" t="s">
        <v>217</v>
      </c>
      <c r="D16" s="376"/>
      <c r="E16" s="274">
        <f>SUM(1*H13)/(H6-J13)</f>
        <v>0.95652173913043481</v>
      </c>
      <c r="F16" s="376" t="s">
        <v>58</v>
      </c>
      <c r="G16" s="376"/>
      <c r="H16" s="377"/>
      <c r="I16" s="266" t="s">
        <v>59</v>
      </c>
      <c r="J16" s="95">
        <f>((H11-H10)*(E18/2)+(H12-H11)*(E18+E19)/2+(H13-H12)*(E19+E20)/2+(H6-H13-J13)*(E20+H5/2))/(H6-H10-J13)+((J13*E20)/(H13-H10))</f>
        <v>11.638339920948617</v>
      </c>
      <c r="K16" s="68"/>
      <c r="L16" s="69"/>
      <c r="M16" s="35" t="str">
        <f>IF(J13&gt;0, IF(H13+J13&gt;H6,"NL+N3 nesmie biť &gt; P"," ")," ")</f>
        <v xml:space="preserve"> </v>
      </c>
      <c r="N16" s="24"/>
    </row>
    <row r="17" spans="1:14" ht="18" x14ac:dyDescent="0.25">
      <c r="A17" s="23"/>
      <c r="B17" s="273"/>
      <c r="C17" s="267" t="s">
        <v>198</v>
      </c>
      <c r="D17" s="268"/>
      <c r="E17" s="268"/>
      <c r="F17" s="269"/>
      <c r="G17" s="268"/>
      <c r="H17" s="268"/>
      <c r="I17" s="374">
        <f>SUM(H6-(J16))/(H5)*(10*E16)/10</f>
        <v>3.0578134845620668</v>
      </c>
      <c r="J17" s="375"/>
      <c r="K17" s="271"/>
      <c r="L17" s="70"/>
      <c r="M17" s="42" t="str">
        <f>IF(H13&gt;H6,"N3 nesmie biť &gt; P"," ")</f>
        <v xml:space="preserve"> </v>
      </c>
      <c r="N17" s="24"/>
    </row>
    <row r="18" spans="1:14" x14ac:dyDescent="0.2">
      <c r="A18" s="23"/>
      <c r="B18" s="71"/>
      <c r="C18" s="72" t="s">
        <v>60</v>
      </c>
      <c r="D18" s="73" t="s">
        <v>61</v>
      </c>
      <c r="E18" s="74">
        <f>IF(H5=24, F11-F10+H5, IF(E10=E11,F11-F10,F11-F10+24))</f>
        <v>6</v>
      </c>
      <c r="F18" s="75"/>
      <c r="G18" s="75"/>
      <c r="H18" s="75"/>
      <c r="I18" s="96" t="s">
        <v>102</v>
      </c>
      <c r="J18" s="75"/>
      <c r="K18" s="75"/>
      <c r="L18" s="75"/>
      <c r="M18" s="75"/>
      <c r="N18" s="24"/>
    </row>
    <row r="19" spans="1:14" x14ac:dyDescent="0.2">
      <c r="A19" s="23"/>
      <c r="B19" s="76"/>
      <c r="C19" s="77" t="s">
        <v>62</v>
      </c>
      <c r="D19" s="78" t="s">
        <v>63</v>
      </c>
      <c r="E19" s="79">
        <f>F12-F10+2*H5</f>
        <v>26</v>
      </c>
      <c r="F19" s="75"/>
      <c r="G19" s="80"/>
      <c r="H19" s="75"/>
      <c r="I19" s="81" t="s">
        <v>103</v>
      </c>
      <c r="J19" s="81"/>
      <c r="K19" s="81"/>
      <c r="L19" s="81"/>
      <c r="M19" s="81"/>
      <c r="N19" s="24"/>
    </row>
    <row r="20" spans="1:14" ht="15" x14ac:dyDescent="0.25">
      <c r="A20" s="23"/>
      <c r="B20" s="82"/>
      <c r="C20" s="83" t="s">
        <v>64</v>
      </c>
      <c r="D20" s="84" t="s">
        <v>65</v>
      </c>
      <c r="E20" s="85">
        <f>IF(H5=24,F13-F10+3*H5,IF(E13=E12,F13-F10+2*H5,F13-F10+4*H5))</f>
        <v>35</v>
      </c>
      <c r="F20" s="75"/>
      <c r="G20" s="80"/>
      <c r="H20" s="75"/>
      <c r="I20" s="86" t="s">
        <v>66</v>
      </c>
      <c r="J20" s="81"/>
      <c r="K20" s="81"/>
      <c r="L20" s="81"/>
      <c r="M20" s="81"/>
      <c r="N20" s="24"/>
    </row>
    <row r="21" spans="1:14" x14ac:dyDescent="0.2">
      <c r="A21" s="23"/>
      <c r="B21" s="75"/>
      <c r="C21" s="75"/>
      <c r="D21" s="75"/>
      <c r="E21" s="75"/>
      <c r="F21" s="75"/>
      <c r="G21" s="75"/>
      <c r="H21" s="75"/>
      <c r="I21" s="81"/>
      <c r="J21" s="81"/>
      <c r="K21" s="81"/>
      <c r="L21" s="81"/>
      <c r="M21" s="81"/>
      <c r="N21" s="24"/>
    </row>
    <row r="22" spans="1:14" ht="15" x14ac:dyDescent="0.2">
      <c r="A22" s="378" t="s">
        <v>104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80"/>
    </row>
    <row r="23" spans="1:14" ht="13.5" thickBot="1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</row>
    <row r="26" spans="1:14" x14ac:dyDescent="0.2">
      <c r="C26" s="90"/>
    </row>
    <row r="27" spans="1:14" x14ac:dyDescent="0.2">
      <c r="C27" s="1"/>
    </row>
    <row r="28" spans="1:14" x14ac:dyDescent="0.2">
      <c r="C28" s="1"/>
    </row>
    <row r="29" spans="1:14" x14ac:dyDescent="0.2">
      <c r="C29" s="1"/>
    </row>
    <row r="30" spans="1:14" x14ac:dyDescent="0.2">
      <c r="C30" s="1"/>
    </row>
    <row r="31" spans="1:14" x14ac:dyDescent="0.2">
      <c r="C31" s="1"/>
    </row>
    <row r="32" spans="1:14" x14ac:dyDescent="0.2">
      <c r="D32" s="1"/>
      <c r="H32" s="1"/>
    </row>
    <row r="33" spans="3:8" x14ac:dyDescent="0.2">
      <c r="C33" s="1"/>
    </row>
    <row r="34" spans="3:8" x14ac:dyDescent="0.2">
      <c r="C34" s="1"/>
    </row>
    <row r="35" spans="3:8" x14ac:dyDescent="0.2">
      <c r="C35" s="1"/>
    </row>
    <row r="37" spans="3:8" x14ac:dyDescent="0.2">
      <c r="C37" s="90"/>
      <c r="D37" s="1"/>
      <c r="H37" s="1"/>
    </row>
    <row r="38" spans="3:8" x14ac:dyDescent="0.2">
      <c r="C38" s="1"/>
    </row>
    <row r="39" spans="3:8" x14ac:dyDescent="0.2">
      <c r="C39" s="1"/>
    </row>
    <row r="40" spans="3:8" x14ac:dyDescent="0.2">
      <c r="C40" s="1"/>
    </row>
    <row r="42" spans="3:8" x14ac:dyDescent="0.2">
      <c r="D42" s="1"/>
      <c r="H42" s="1"/>
    </row>
    <row r="43" spans="3:8" x14ac:dyDescent="0.2">
      <c r="C43" s="1"/>
    </row>
    <row r="44" spans="3:8" x14ac:dyDescent="0.2">
      <c r="C44" s="1"/>
    </row>
    <row r="45" spans="3:8" x14ac:dyDescent="0.2">
      <c r="C45" s="1"/>
    </row>
  </sheetData>
  <sheetProtection password="B011" sheet="1" objects="1" scenarios="1"/>
  <mergeCells count="18">
    <mergeCell ref="A1:H1"/>
    <mergeCell ref="I1:L1"/>
    <mergeCell ref="B2:C2"/>
    <mergeCell ref="D2:E2"/>
    <mergeCell ref="F2:G2"/>
    <mergeCell ref="H2:I2"/>
    <mergeCell ref="J2:K2"/>
    <mergeCell ref="A22:N22"/>
    <mergeCell ref="B3:C3"/>
    <mergeCell ref="D3:E3"/>
    <mergeCell ref="F3:G3"/>
    <mergeCell ref="H3:I3"/>
    <mergeCell ref="J3:K3"/>
    <mergeCell ref="I9:J9"/>
    <mergeCell ref="B4:K4"/>
    <mergeCell ref="I17:J17"/>
    <mergeCell ref="F16:H16"/>
    <mergeCell ref="C16:D16"/>
  </mergeCells>
  <hyperlinks>
    <hyperlink ref="I20" r:id="rId1" xr:uid="{00000000-0004-0000-0300-000000000000}"/>
  </hyperlinks>
  <pageMargins left="0.7" right="0.7" top="0.75" bottom="0.75" header="0.3" footer="0.3"/>
  <pageSetup paperSize="9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5"/>
  <sheetViews>
    <sheetView workbookViewId="0">
      <selection activeCell="H5" sqref="H5"/>
    </sheetView>
  </sheetViews>
  <sheetFormatPr defaultRowHeight="12.75" x14ac:dyDescent="0.2"/>
  <cols>
    <col min="1" max="1" width="3.5703125" customWidth="1"/>
    <col min="2" max="2" width="1.5703125" customWidth="1"/>
    <col min="3" max="3" width="22.7109375" customWidth="1"/>
    <col min="4" max="4" width="6.140625" customWidth="1"/>
    <col min="5" max="5" width="15" customWidth="1"/>
    <col min="6" max="6" width="7.140625" customWidth="1"/>
    <col min="7" max="8" width="8" customWidth="1"/>
    <col min="9" max="9" width="8.42578125" customWidth="1"/>
    <col min="10" max="10" width="8" customWidth="1"/>
    <col min="11" max="12" width="1.140625" customWidth="1"/>
    <col min="13" max="13" width="14.140625" customWidth="1"/>
    <col min="14" max="14" width="11.85546875" customWidth="1"/>
    <col min="15" max="15" width="1.7109375" hidden="1" customWidth="1"/>
    <col min="16" max="16" width="5" customWidth="1"/>
  </cols>
  <sheetData>
    <row r="1" spans="1:16" ht="26.25" x14ac:dyDescent="0.2">
      <c r="A1" s="382" t="s">
        <v>70</v>
      </c>
      <c r="B1" s="383"/>
      <c r="C1" s="383"/>
      <c r="D1" s="383"/>
      <c r="E1" s="383"/>
      <c r="F1" s="383"/>
      <c r="G1" s="383"/>
      <c r="H1" s="383"/>
      <c r="I1" s="384" t="str">
        <f>UPPER(B3)</f>
        <v>SOK250001</v>
      </c>
      <c r="J1" s="384"/>
      <c r="K1" s="384"/>
      <c r="L1" s="397"/>
      <c r="M1" s="397"/>
      <c r="N1" s="94"/>
      <c r="O1" s="94"/>
      <c r="P1" s="93"/>
    </row>
    <row r="2" spans="1:16" ht="26.25" x14ac:dyDescent="0.2">
      <c r="A2" s="21"/>
      <c r="B2" s="385" t="s">
        <v>67</v>
      </c>
      <c r="C2" s="386"/>
      <c r="D2" s="387" t="s">
        <v>17</v>
      </c>
      <c r="E2" s="388"/>
      <c r="F2" s="387" t="s">
        <v>68</v>
      </c>
      <c r="G2" s="388"/>
      <c r="H2" s="389" t="s">
        <v>69</v>
      </c>
      <c r="I2" s="390"/>
      <c r="J2" s="398" t="s">
        <v>20</v>
      </c>
      <c r="K2" s="398"/>
      <c r="L2" s="229"/>
      <c r="M2" s="230"/>
      <c r="N2" s="230"/>
      <c r="O2" s="92"/>
      <c r="P2" s="22"/>
    </row>
    <row r="3" spans="1:16" ht="15.75" x14ac:dyDescent="0.2">
      <c r="A3" s="23"/>
      <c r="B3" s="393" t="str">
        <f>UPPER('Karta matky'!B12)</f>
        <v>SOK250001</v>
      </c>
      <c r="C3" s="393"/>
      <c r="D3" s="394" t="str">
        <f>UPPER('Karta matky'!C12)</f>
        <v/>
      </c>
      <c r="E3" s="394"/>
      <c r="F3" s="394" t="str">
        <f>UPPER('Karta matky'!D12)</f>
        <v/>
      </c>
      <c r="G3" s="394"/>
      <c r="H3" s="394" t="str">
        <f>UPPER('Karta matky'!E12)</f>
        <v/>
      </c>
      <c r="I3" s="394"/>
      <c r="J3" s="395">
        <f>VALUE('Karta matky'!H12)</f>
        <v>0</v>
      </c>
      <c r="K3" s="395"/>
      <c r="L3" s="231"/>
      <c r="M3" s="396"/>
      <c r="N3" s="396"/>
      <c r="O3" s="28"/>
      <c r="P3" s="24"/>
    </row>
    <row r="4" spans="1:16" ht="15.75" x14ac:dyDescent="0.2">
      <c r="A4" s="23"/>
      <c r="B4" s="371" t="s">
        <v>35</v>
      </c>
      <c r="C4" s="372"/>
      <c r="D4" s="372"/>
      <c r="E4" s="372"/>
      <c r="F4" s="372"/>
      <c r="G4" s="372"/>
      <c r="H4" s="372"/>
      <c r="I4" s="372"/>
      <c r="J4" s="372"/>
      <c r="K4" s="373"/>
      <c r="L4" s="232"/>
      <c r="M4" s="399"/>
      <c r="N4" s="399"/>
      <c r="O4" s="29"/>
      <c r="P4" s="24"/>
    </row>
    <row r="5" spans="1:16" ht="18" x14ac:dyDescent="0.2">
      <c r="A5" s="23"/>
      <c r="B5" s="25"/>
      <c r="C5" s="48" t="s">
        <v>204</v>
      </c>
      <c r="D5" s="27"/>
      <c r="E5" s="49" t="s">
        <v>205</v>
      </c>
      <c r="F5" s="233">
        <v>0.20833333333333334</v>
      </c>
      <c r="G5" s="49" t="s">
        <v>202</v>
      </c>
      <c r="H5" s="258">
        <v>6</v>
      </c>
      <c r="I5" s="34" t="s">
        <v>206</v>
      </c>
      <c r="J5" s="27"/>
      <c r="K5" s="28"/>
      <c r="L5" s="25"/>
      <c r="M5" s="400"/>
      <c r="N5" s="400"/>
      <c r="O5" s="35"/>
      <c r="P5" s="24"/>
    </row>
    <row r="6" spans="1:16" ht="15.75" x14ac:dyDescent="0.2">
      <c r="A6" s="23"/>
      <c r="B6" s="25"/>
      <c r="C6" s="48" t="s">
        <v>207</v>
      </c>
      <c r="D6" s="31"/>
      <c r="E6" s="31"/>
      <c r="F6" s="27"/>
      <c r="G6" s="49" t="s">
        <v>40</v>
      </c>
      <c r="H6" s="234">
        <v>50</v>
      </c>
      <c r="I6" s="36"/>
      <c r="J6" s="27"/>
      <c r="K6" s="28"/>
      <c r="L6" s="25"/>
      <c r="M6" s="401"/>
      <c r="N6" s="401"/>
      <c r="O6" s="235"/>
      <c r="P6" s="24"/>
    </row>
    <row r="7" spans="1:16" x14ac:dyDescent="0.2">
      <c r="A7" s="23"/>
      <c r="B7" s="37"/>
      <c r="C7" s="236" t="s">
        <v>208</v>
      </c>
      <c r="D7" s="39"/>
      <c r="E7" s="39"/>
      <c r="F7" s="40"/>
      <c r="G7" s="41"/>
      <c r="H7" s="38"/>
      <c r="I7" s="38"/>
      <c r="J7" s="38"/>
      <c r="K7" s="42"/>
      <c r="L7" s="25"/>
      <c r="M7" s="27"/>
      <c r="N7" s="27"/>
      <c r="O7" s="28"/>
      <c r="P7" s="24"/>
    </row>
    <row r="8" spans="1:16" ht="15" customHeight="1" x14ac:dyDescent="0.2">
      <c r="A8" s="23"/>
      <c r="B8" s="25"/>
      <c r="C8" s="402" t="s">
        <v>209</v>
      </c>
      <c r="D8" s="402"/>
      <c r="E8" s="402"/>
      <c r="F8" s="32"/>
      <c r="G8" s="43"/>
      <c r="H8" s="27"/>
      <c r="I8" s="27"/>
      <c r="J8" s="27"/>
      <c r="K8" s="28"/>
      <c r="L8" s="25"/>
      <c r="M8" s="396" t="s">
        <v>210</v>
      </c>
      <c r="N8" s="396"/>
      <c r="O8" s="28"/>
      <c r="P8" s="24"/>
    </row>
    <row r="9" spans="1:16" ht="15" x14ac:dyDescent="0.25">
      <c r="A9" s="23"/>
      <c r="B9" s="25"/>
      <c r="C9" s="237"/>
      <c r="D9" s="238"/>
      <c r="E9" s="239" t="s">
        <v>211</v>
      </c>
      <c r="F9" s="32"/>
      <c r="G9" s="44" t="s">
        <v>212</v>
      </c>
      <c r="H9" s="45"/>
      <c r="I9" s="381" t="s">
        <v>44</v>
      </c>
      <c r="J9" s="381"/>
      <c r="K9" s="46"/>
      <c r="L9" s="240"/>
      <c r="M9" s="403"/>
      <c r="N9" s="403"/>
      <c r="O9" s="28"/>
      <c r="P9" s="24"/>
    </row>
    <row r="10" spans="1:16" x14ac:dyDescent="0.2">
      <c r="A10" s="23"/>
      <c r="B10" s="25"/>
      <c r="C10" s="241" t="s">
        <v>213</v>
      </c>
      <c r="D10" s="242" t="s">
        <v>46</v>
      </c>
      <c r="E10" s="243">
        <v>43669.333333333336</v>
      </c>
      <c r="F10" s="57"/>
      <c r="G10" s="52" t="s">
        <v>47</v>
      </c>
      <c r="H10" s="244">
        <v>0</v>
      </c>
      <c r="I10" s="53"/>
      <c r="J10" s="53"/>
      <c r="K10" s="54"/>
      <c r="L10" s="245"/>
      <c r="M10" s="404" t="str">
        <f>IF(H10&lt;0,"N0 nesmie biť záporná"," ")</f>
        <v xml:space="preserve"> </v>
      </c>
      <c r="N10" s="404"/>
      <c r="O10" s="246"/>
      <c r="P10" s="24"/>
    </row>
    <row r="11" spans="1:16" ht="14.25" customHeight="1" x14ac:dyDescent="0.2">
      <c r="A11" s="23"/>
      <c r="B11" s="25"/>
      <c r="C11" s="241" t="s">
        <v>214</v>
      </c>
      <c r="D11" s="242" t="s">
        <v>49</v>
      </c>
      <c r="E11" s="247">
        <f>SUM(E10)+F5</f>
        <v>43669.541666666672</v>
      </c>
      <c r="F11" s="57"/>
      <c r="G11" s="52" t="s">
        <v>50</v>
      </c>
      <c r="H11" s="244">
        <v>23</v>
      </c>
      <c r="I11" s="405"/>
      <c r="J11" s="406"/>
      <c r="K11" s="54"/>
      <c r="L11" s="245"/>
      <c r="M11" s="407" t="str">
        <f>IF(H10&gt;0,IF(H10&gt;H11,"N1 nesmie biť &lt; N0"," ")," ")</f>
        <v xml:space="preserve"> </v>
      </c>
      <c r="N11" s="407"/>
      <c r="O11" s="248"/>
      <c r="P11" s="24"/>
    </row>
    <row r="12" spans="1:16" x14ac:dyDescent="0.2">
      <c r="A12" s="23"/>
      <c r="B12" s="25"/>
      <c r="C12" s="241" t="s">
        <v>215</v>
      </c>
      <c r="D12" s="242" t="s">
        <v>52</v>
      </c>
      <c r="E12" s="247">
        <f>SUM(E11)+F5</f>
        <v>43669.750000000007</v>
      </c>
      <c r="F12" s="57"/>
      <c r="G12" s="52" t="s">
        <v>53</v>
      </c>
      <c r="H12" s="244">
        <v>28</v>
      </c>
      <c r="I12" s="406"/>
      <c r="J12" s="406"/>
      <c r="K12" s="54"/>
      <c r="L12" s="245"/>
      <c r="M12" s="404" t="str">
        <f>IF(H12&gt;0,IF(H11&gt;H12,"N2 nesmie biť &lt; N1"," ")," ")</f>
        <v xml:space="preserve"> </v>
      </c>
      <c r="N12" s="404"/>
      <c r="O12" s="248"/>
      <c r="P12" s="24"/>
    </row>
    <row r="13" spans="1:16" x14ac:dyDescent="0.2">
      <c r="A13" s="23"/>
      <c r="B13" s="25"/>
      <c r="C13" s="249" t="s">
        <v>216</v>
      </c>
      <c r="D13" s="250" t="s">
        <v>55</v>
      </c>
      <c r="E13" s="247">
        <f>SUM(E12)+F5</f>
        <v>43669.958333333343</v>
      </c>
      <c r="F13" s="57"/>
      <c r="G13" s="52" t="s">
        <v>56</v>
      </c>
      <c r="H13" s="244">
        <v>34</v>
      </c>
      <c r="I13" s="52" t="s">
        <v>57</v>
      </c>
      <c r="J13" s="244">
        <v>0</v>
      </c>
      <c r="K13" s="56"/>
      <c r="L13" s="251"/>
      <c r="M13" s="404" t="str">
        <f>IF(H13&gt;0,IF(H12&gt;H13,"N3 nesmie biť &lt; N2"," ")," ")</f>
        <v xml:space="preserve"> </v>
      </c>
      <c r="N13" s="404"/>
      <c r="O13" s="248"/>
      <c r="P13" s="24"/>
    </row>
    <row r="14" spans="1:16" x14ac:dyDescent="0.2">
      <c r="A14" s="23"/>
      <c r="B14" s="37"/>
      <c r="C14" s="58"/>
      <c r="D14" s="59"/>
      <c r="E14" s="60"/>
      <c r="F14" s="61"/>
      <c r="G14" s="62"/>
      <c r="H14" s="61"/>
      <c r="I14" s="62"/>
      <c r="J14" s="61"/>
      <c r="K14" s="63"/>
      <c r="L14" s="252"/>
      <c r="M14" s="404" t="str">
        <f>IF(J13&gt;0, IF(H13+J13&gt;H6,"NL+N3 nesmie biť &gt; P"," ")," ")</f>
        <v xml:space="preserve"> </v>
      </c>
      <c r="N14" s="404"/>
      <c r="O14" s="65"/>
      <c r="P14" s="24"/>
    </row>
    <row r="15" spans="1:16" x14ac:dyDescent="0.2">
      <c r="A15" s="23"/>
      <c r="B15" s="272"/>
      <c r="C15" s="260"/>
      <c r="D15" s="261"/>
      <c r="E15" s="262"/>
      <c r="F15" s="263"/>
      <c r="G15" s="264"/>
      <c r="H15" s="265"/>
      <c r="I15" s="264"/>
      <c r="J15" s="263"/>
      <c r="K15" s="270"/>
      <c r="L15" s="253"/>
      <c r="M15" s="404" t="str">
        <f>IF(H11&gt;H6,"N1 nesmie biť &gt; P"," ")</f>
        <v xml:space="preserve"> </v>
      </c>
      <c r="N15" s="404"/>
      <c r="O15" s="67"/>
      <c r="P15" s="24"/>
    </row>
    <row r="16" spans="1:16" ht="18" x14ac:dyDescent="0.2">
      <c r="A16" s="23"/>
      <c r="B16" s="272"/>
      <c r="C16" s="376" t="s">
        <v>217</v>
      </c>
      <c r="D16" s="376"/>
      <c r="E16" s="274">
        <f>SUM(1*H13)/(H6-J13)</f>
        <v>0.68</v>
      </c>
      <c r="F16" s="376" t="s">
        <v>58</v>
      </c>
      <c r="G16" s="376"/>
      <c r="H16" s="377"/>
      <c r="I16" s="266" t="s">
        <v>59</v>
      </c>
      <c r="J16" s="95">
        <f>((H11-H10)*(E18/2)+(H12-H11)*(E18+E19)/2+(H13-H12)*(E19+E20)/2+(H6-H13-J13)*(E20+H5/2))/(H6-H10-J13)+((J13*E20)/(H13-H10))</f>
        <v>10.8</v>
      </c>
      <c r="K16" s="68"/>
      <c r="L16" s="254"/>
      <c r="M16" s="404" t="str">
        <f>IF(H12&gt;H6,"N2 nesmie biť &gt; P"," ")</f>
        <v xml:space="preserve"> </v>
      </c>
      <c r="N16" s="404"/>
      <c r="O16" s="255"/>
      <c r="P16" s="24"/>
    </row>
    <row r="17" spans="1:16" ht="18" x14ac:dyDescent="0.25">
      <c r="A17" s="23"/>
      <c r="B17" s="272"/>
      <c r="C17" s="275" t="s">
        <v>198</v>
      </c>
      <c r="D17" s="260"/>
      <c r="E17" s="260"/>
      <c r="F17" s="269"/>
      <c r="G17" s="268"/>
      <c r="H17" s="268"/>
      <c r="I17" s="374">
        <f>SUM(H6-(J16))/(H5)*(10*E16)/10</f>
        <v>4.4426666666666677</v>
      </c>
      <c r="J17" s="375"/>
      <c r="K17" s="271"/>
      <c r="L17" s="256"/>
      <c r="M17" s="404" t="str">
        <f>IF(H13&gt;H6,"N3 nesmie biť &gt; P"," ")</f>
        <v xml:space="preserve"> </v>
      </c>
      <c r="N17" s="404"/>
      <c r="O17" s="42"/>
      <c r="P17" s="24"/>
    </row>
    <row r="18" spans="1:16" x14ac:dyDescent="0.2">
      <c r="A18" s="23"/>
      <c r="B18" s="71"/>
      <c r="C18" s="72" t="s">
        <v>60</v>
      </c>
      <c r="D18" s="73" t="s">
        <v>61</v>
      </c>
      <c r="E18" s="74" t="str">
        <f>UPPER(H5)</f>
        <v>6</v>
      </c>
      <c r="F18" s="75"/>
      <c r="G18" s="75"/>
      <c r="H18" s="75"/>
      <c r="I18" s="96" t="s">
        <v>102</v>
      </c>
      <c r="J18" s="75"/>
      <c r="K18" s="75"/>
      <c r="L18" s="75"/>
      <c r="M18" s="75"/>
      <c r="N18" s="75"/>
      <c r="O18" s="75"/>
      <c r="P18" s="24"/>
    </row>
    <row r="19" spans="1:16" x14ac:dyDescent="0.2">
      <c r="A19" s="23"/>
      <c r="B19" s="76"/>
      <c r="C19" s="77" t="s">
        <v>62</v>
      </c>
      <c r="D19" s="78" t="s">
        <v>63</v>
      </c>
      <c r="E19" s="79">
        <f>SUM(E18)+2*H5</f>
        <v>12</v>
      </c>
      <c r="F19" s="75"/>
      <c r="G19" s="80"/>
      <c r="H19" s="75"/>
      <c r="I19" s="81" t="s">
        <v>103</v>
      </c>
      <c r="J19" s="81"/>
      <c r="K19" s="81"/>
      <c r="L19" s="81"/>
      <c r="M19" s="81"/>
      <c r="N19" s="81"/>
      <c r="O19" s="81"/>
      <c r="P19" s="24"/>
    </row>
    <row r="20" spans="1:16" ht="15" x14ac:dyDescent="0.25">
      <c r="A20" s="23"/>
      <c r="B20" s="82"/>
      <c r="C20" s="83" t="s">
        <v>64</v>
      </c>
      <c r="D20" s="84" t="s">
        <v>65</v>
      </c>
      <c r="E20" s="85">
        <f>SUM(E19)+H5</f>
        <v>18</v>
      </c>
      <c r="F20" s="75"/>
      <c r="G20" s="80"/>
      <c r="H20" s="75"/>
      <c r="I20" s="86" t="s">
        <v>66</v>
      </c>
      <c r="J20" s="81"/>
      <c r="K20" s="81"/>
      <c r="L20" s="81"/>
      <c r="M20" s="81"/>
      <c r="N20" s="81"/>
      <c r="O20" s="81"/>
      <c r="P20" s="24"/>
    </row>
    <row r="21" spans="1:16" x14ac:dyDescent="0.2">
      <c r="A21" s="23"/>
      <c r="B21" s="75"/>
      <c r="C21" s="75"/>
      <c r="D21" s="75"/>
      <c r="E21" s="75"/>
      <c r="F21" s="75"/>
      <c r="G21" s="75"/>
      <c r="H21" s="75"/>
      <c r="I21" s="81"/>
      <c r="J21" s="81"/>
      <c r="K21" s="81"/>
      <c r="L21" s="81"/>
      <c r="M21" s="81"/>
      <c r="N21" s="81"/>
      <c r="O21" s="81"/>
      <c r="P21" s="24"/>
    </row>
    <row r="22" spans="1:16" ht="15" x14ac:dyDescent="0.2">
      <c r="A22" s="378" t="s">
        <v>104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80"/>
    </row>
    <row r="23" spans="1:16" ht="13.5" thickBot="1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</row>
    <row r="26" spans="1:16" x14ac:dyDescent="0.2">
      <c r="C26" s="90"/>
    </row>
    <row r="27" spans="1:16" x14ac:dyDescent="0.2">
      <c r="C27" s="1"/>
    </row>
    <row r="28" spans="1:16" x14ac:dyDescent="0.2">
      <c r="C28" s="1"/>
    </row>
    <row r="29" spans="1:16" x14ac:dyDescent="0.2">
      <c r="C29" s="1"/>
    </row>
    <row r="30" spans="1:16" x14ac:dyDescent="0.2">
      <c r="C30" s="1"/>
    </row>
    <row r="31" spans="1:16" x14ac:dyDescent="0.2">
      <c r="C31" s="1"/>
      <c r="E31" s="257"/>
    </row>
    <row r="32" spans="1:16" x14ac:dyDescent="0.2">
      <c r="D32" s="1"/>
      <c r="H32" s="1"/>
    </row>
    <row r="33" spans="3:8" x14ac:dyDescent="0.2">
      <c r="C33" s="1"/>
    </row>
    <row r="34" spans="3:8" x14ac:dyDescent="0.2">
      <c r="C34" s="1"/>
    </row>
    <row r="35" spans="3:8" x14ac:dyDescent="0.2">
      <c r="C35" s="1"/>
    </row>
    <row r="37" spans="3:8" x14ac:dyDescent="0.2">
      <c r="C37" s="90"/>
      <c r="D37" s="1"/>
      <c r="H37" s="1"/>
    </row>
    <row r="38" spans="3:8" x14ac:dyDescent="0.2">
      <c r="C38" s="1"/>
    </row>
    <row r="39" spans="3:8" x14ac:dyDescent="0.2">
      <c r="C39" s="1"/>
    </row>
    <row r="40" spans="3:8" x14ac:dyDescent="0.2">
      <c r="C40" s="1"/>
    </row>
    <row r="42" spans="3:8" x14ac:dyDescent="0.2">
      <c r="D42" s="1"/>
      <c r="H42" s="1"/>
    </row>
    <row r="43" spans="3:8" x14ac:dyDescent="0.2">
      <c r="C43" s="1"/>
    </row>
    <row r="44" spans="3:8" x14ac:dyDescent="0.2">
      <c r="C44" s="1"/>
    </row>
    <row r="45" spans="3:8" x14ac:dyDescent="0.2">
      <c r="C45" s="1"/>
    </row>
  </sheetData>
  <sheetProtection password="B011" sheet="1" objects="1" scenarios="1"/>
  <mergeCells count="34">
    <mergeCell ref="M13:N13"/>
    <mergeCell ref="M14:N14"/>
    <mergeCell ref="M16:N16"/>
    <mergeCell ref="I17:J17"/>
    <mergeCell ref="A22:P22"/>
    <mergeCell ref="M15:N15"/>
    <mergeCell ref="M17:N17"/>
    <mergeCell ref="F16:H16"/>
    <mergeCell ref="C16:D16"/>
    <mergeCell ref="I9:J9"/>
    <mergeCell ref="M9:N9"/>
    <mergeCell ref="M10:N10"/>
    <mergeCell ref="I11:J12"/>
    <mergeCell ref="M11:N11"/>
    <mergeCell ref="M12:N12"/>
    <mergeCell ref="B4:K4"/>
    <mergeCell ref="M4:N4"/>
    <mergeCell ref="M5:N5"/>
    <mergeCell ref="M6:N6"/>
    <mergeCell ref="C8:E8"/>
    <mergeCell ref="M8:N8"/>
    <mergeCell ref="M3:N3"/>
    <mergeCell ref="A1:H1"/>
    <mergeCell ref="I1:M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hyperlinks>
    <hyperlink ref="I20" r:id="rId1" xr:uid="{00000000-0004-0000-04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workbookViewId="0">
      <selection activeCell="H5" sqref="H5"/>
    </sheetView>
  </sheetViews>
  <sheetFormatPr defaultRowHeight="12.75" x14ac:dyDescent="0.2"/>
  <cols>
    <col min="1" max="1" width="3.5703125" customWidth="1"/>
    <col min="2" max="2" width="1.5703125" customWidth="1"/>
    <col min="3" max="3" width="22.7109375" customWidth="1"/>
    <col min="4" max="4" width="6.140625" customWidth="1"/>
    <col min="5" max="5" width="15" customWidth="1"/>
    <col min="6" max="6" width="7.140625" customWidth="1"/>
    <col min="7" max="8" width="8" customWidth="1"/>
    <col min="9" max="9" width="8.42578125" customWidth="1"/>
    <col min="10" max="10" width="8" customWidth="1"/>
    <col min="11" max="12" width="1.140625" customWidth="1"/>
    <col min="13" max="13" width="14.140625" customWidth="1"/>
    <col min="14" max="14" width="11.85546875" customWidth="1"/>
    <col min="15" max="15" width="1.7109375" hidden="1" customWidth="1"/>
    <col min="16" max="16" width="5" customWidth="1"/>
  </cols>
  <sheetData>
    <row r="1" spans="1:16" ht="26.25" x14ac:dyDescent="0.2">
      <c r="A1" s="382" t="s">
        <v>70</v>
      </c>
      <c r="B1" s="383"/>
      <c r="C1" s="383"/>
      <c r="D1" s="383"/>
      <c r="E1" s="383"/>
      <c r="F1" s="383"/>
      <c r="G1" s="383"/>
      <c r="H1" s="383"/>
      <c r="I1" s="384" t="str">
        <f>UPPER(B3)</f>
        <v>SOK250001</v>
      </c>
      <c r="J1" s="384"/>
      <c r="K1" s="384"/>
      <c r="L1" s="397"/>
      <c r="M1" s="397"/>
      <c r="N1" s="94"/>
      <c r="O1" s="94"/>
      <c r="P1" s="93"/>
    </row>
    <row r="2" spans="1:16" ht="26.25" x14ac:dyDescent="0.2">
      <c r="A2" s="21"/>
      <c r="B2" s="385" t="s">
        <v>67</v>
      </c>
      <c r="C2" s="386"/>
      <c r="D2" s="387" t="s">
        <v>17</v>
      </c>
      <c r="E2" s="388"/>
      <c r="F2" s="387" t="s">
        <v>68</v>
      </c>
      <c r="G2" s="388"/>
      <c r="H2" s="389" t="s">
        <v>69</v>
      </c>
      <c r="I2" s="390"/>
      <c r="J2" s="398" t="s">
        <v>20</v>
      </c>
      <c r="K2" s="398"/>
      <c r="L2" s="229"/>
      <c r="M2" s="230"/>
      <c r="N2" s="230"/>
      <c r="O2" s="92"/>
      <c r="P2" s="22"/>
    </row>
    <row r="3" spans="1:16" ht="15.75" x14ac:dyDescent="0.2">
      <c r="A3" s="23"/>
      <c r="B3" s="393" t="str">
        <f>UPPER('Karta matky'!B12)</f>
        <v>SOK250001</v>
      </c>
      <c r="C3" s="393"/>
      <c r="D3" s="394" t="str">
        <f>UPPER('Karta matky'!C12)</f>
        <v/>
      </c>
      <c r="E3" s="394"/>
      <c r="F3" s="394" t="str">
        <f>UPPER('Karta matky'!D12)</f>
        <v/>
      </c>
      <c r="G3" s="394"/>
      <c r="H3" s="394" t="str">
        <f>UPPER('Karta matky'!E12)</f>
        <v/>
      </c>
      <c r="I3" s="394"/>
      <c r="J3" s="395">
        <f>VALUE('Karta matky'!H12)</f>
        <v>0</v>
      </c>
      <c r="K3" s="395"/>
      <c r="L3" s="231"/>
      <c r="M3" s="396"/>
      <c r="N3" s="396"/>
      <c r="O3" s="28"/>
      <c r="P3" s="24"/>
    </row>
    <row r="4" spans="1:16" ht="15.75" x14ac:dyDescent="0.2">
      <c r="A4" s="23"/>
      <c r="B4" s="371" t="s">
        <v>35</v>
      </c>
      <c r="C4" s="372"/>
      <c r="D4" s="372"/>
      <c r="E4" s="372"/>
      <c r="F4" s="372"/>
      <c r="G4" s="372"/>
      <c r="H4" s="372"/>
      <c r="I4" s="372"/>
      <c r="J4" s="372"/>
      <c r="K4" s="373"/>
      <c r="L4" s="232"/>
      <c r="M4" s="399"/>
      <c r="N4" s="399"/>
      <c r="O4" s="29"/>
      <c r="P4" s="24"/>
    </row>
    <row r="5" spans="1:16" ht="18" x14ac:dyDescent="0.2">
      <c r="A5" s="23"/>
      <c r="B5" s="25"/>
      <c r="C5" s="48" t="s">
        <v>204</v>
      </c>
      <c r="D5" s="27"/>
      <c r="E5" s="49" t="s">
        <v>205</v>
      </c>
      <c r="F5" s="233">
        <v>0.375</v>
      </c>
      <c r="G5" s="49" t="s">
        <v>202</v>
      </c>
      <c r="H5" s="258">
        <v>9</v>
      </c>
      <c r="I5" s="34" t="s">
        <v>206</v>
      </c>
      <c r="J5" s="27"/>
      <c r="K5" s="28"/>
      <c r="L5" s="25"/>
      <c r="M5" s="400"/>
      <c r="N5" s="400"/>
      <c r="O5" s="35"/>
      <c r="P5" s="24"/>
    </row>
    <row r="6" spans="1:16" ht="15.75" x14ac:dyDescent="0.2">
      <c r="A6" s="23"/>
      <c r="B6" s="25"/>
      <c r="C6" s="48" t="s">
        <v>207</v>
      </c>
      <c r="D6" s="31"/>
      <c r="E6" s="31"/>
      <c r="F6" s="27"/>
      <c r="G6" s="49" t="s">
        <v>40</v>
      </c>
      <c r="H6" s="234">
        <v>50</v>
      </c>
      <c r="I6" s="36"/>
      <c r="J6" s="27"/>
      <c r="K6" s="28"/>
      <c r="L6" s="25"/>
      <c r="M6" s="401"/>
      <c r="N6" s="401"/>
      <c r="O6" s="235"/>
      <c r="P6" s="24"/>
    </row>
    <row r="7" spans="1:16" x14ac:dyDescent="0.2">
      <c r="A7" s="23"/>
      <c r="B7" s="37"/>
      <c r="C7" s="236" t="s">
        <v>208</v>
      </c>
      <c r="D7" s="39"/>
      <c r="E7" s="39"/>
      <c r="F7" s="40"/>
      <c r="G7" s="41"/>
      <c r="H7" s="38"/>
      <c r="I7" s="38"/>
      <c r="J7" s="38"/>
      <c r="K7" s="42"/>
      <c r="L7" s="25"/>
      <c r="M7" s="27"/>
      <c r="N7" s="27"/>
      <c r="O7" s="28"/>
      <c r="P7" s="24"/>
    </row>
    <row r="8" spans="1:16" ht="15" customHeight="1" x14ac:dyDescent="0.2">
      <c r="A8" s="23"/>
      <c r="B8" s="25"/>
      <c r="C8" s="402" t="s">
        <v>209</v>
      </c>
      <c r="D8" s="402"/>
      <c r="E8" s="402"/>
      <c r="F8" s="32"/>
      <c r="G8" s="43"/>
      <c r="H8" s="27"/>
      <c r="I8" s="27"/>
      <c r="J8" s="27"/>
      <c r="K8" s="28"/>
      <c r="L8" s="25"/>
      <c r="M8" s="396" t="s">
        <v>210</v>
      </c>
      <c r="N8" s="396"/>
      <c r="O8" s="28"/>
      <c r="P8" s="24"/>
    </row>
    <row r="9" spans="1:16" ht="15" x14ac:dyDescent="0.25">
      <c r="A9" s="23"/>
      <c r="B9" s="25"/>
      <c r="C9" s="237"/>
      <c r="D9" s="238"/>
      <c r="E9" s="239" t="s">
        <v>211</v>
      </c>
      <c r="F9" s="32"/>
      <c r="G9" s="44" t="s">
        <v>212</v>
      </c>
      <c r="H9" s="45"/>
      <c r="I9" s="381" t="s">
        <v>44</v>
      </c>
      <c r="J9" s="381"/>
      <c r="K9" s="46"/>
      <c r="L9" s="240"/>
      <c r="M9" s="403"/>
      <c r="N9" s="403"/>
      <c r="O9" s="28"/>
      <c r="P9" s="24"/>
    </row>
    <row r="10" spans="1:16" x14ac:dyDescent="0.2">
      <c r="A10" s="23"/>
      <c r="B10" s="25"/>
      <c r="C10" s="241" t="s">
        <v>213</v>
      </c>
      <c r="D10" s="242" t="s">
        <v>46</v>
      </c>
      <c r="E10" s="243">
        <v>43669.458333333336</v>
      </c>
      <c r="F10" s="57"/>
      <c r="G10" s="52" t="s">
        <v>47</v>
      </c>
      <c r="H10" s="244">
        <v>0</v>
      </c>
      <c r="I10" s="53"/>
      <c r="J10" s="53"/>
      <c r="K10" s="54"/>
      <c r="L10" s="245"/>
      <c r="M10" s="404" t="str">
        <f>IF(H10&lt;0,"N0 nesmie biť záporná"," ")</f>
        <v xml:space="preserve"> </v>
      </c>
      <c r="N10" s="404"/>
      <c r="O10" s="246"/>
      <c r="P10" s="24"/>
    </row>
    <row r="11" spans="1:16" ht="14.25" customHeight="1" x14ac:dyDescent="0.2">
      <c r="A11" s="23"/>
      <c r="B11" s="25"/>
      <c r="C11" s="241" t="s">
        <v>214</v>
      </c>
      <c r="D11" s="242" t="s">
        <v>49</v>
      </c>
      <c r="E11" s="247">
        <f>SUM(E10)+F5</f>
        <v>43669.833333333336</v>
      </c>
      <c r="F11" s="57"/>
      <c r="G11" s="52" t="s">
        <v>50</v>
      </c>
      <c r="H11" s="244">
        <v>27</v>
      </c>
      <c r="I11" s="405"/>
      <c r="J11" s="406"/>
      <c r="K11" s="54"/>
      <c r="L11" s="245"/>
      <c r="M11" s="407" t="str">
        <f>IF(H10&gt;0,IF(H10&gt;H11,"N1 nesmie biť &lt; N0"," ")," ")</f>
        <v xml:space="preserve"> </v>
      </c>
      <c r="N11" s="407"/>
      <c r="O11" s="248"/>
      <c r="P11" s="24"/>
    </row>
    <row r="12" spans="1:16" x14ac:dyDescent="0.2">
      <c r="A12" s="23"/>
      <c r="B12" s="25"/>
      <c r="C12" s="241" t="s">
        <v>215</v>
      </c>
      <c r="D12" s="242" t="s">
        <v>52</v>
      </c>
      <c r="E12" s="247">
        <f>SUM(E11)+F5</f>
        <v>43670.208333333336</v>
      </c>
      <c r="F12" s="57"/>
      <c r="G12" s="52" t="s">
        <v>53</v>
      </c>
      <c r="H12" s="244">
        <v>35</v>
      </c>
      <c r="I12" s="406"/>
      <c r="J12" s="406"/>
      <c r="K12" s="54"/>
      <c r="L12" s="245"/>
      <c r="M12" s="404" t="str">
        <f>IF(H12&gt;0,IF(H11&gt;H12,"N2 nesmie biť &lt; N1"," ")," ")</f>
        <v xml:space="preserve"> </v>
      </c>
      <c r="N12" s="404"/>
      <c r="O12" s="248"/>
      <c r="P12" s="24"/>
    </row>
    <row r="13" spans="1:16" x14ac:dyDescent="0.2">
      <c r="A13" s="23"/>
      <c r="B13" s="25"/>
      <c r="C13" s="249" t="s">
        <v>216</v>
      </c>
      <c r="D13" s="250" t="s">
        <v>55</v>
      </c>
      <c r="E13" s="247">
        <f>SUM(E12)+F5</f>
        <v>43670.583333333336</v>
      </c>
      <c r="F13" s="57"/>
      <c r="G13" s="52" t="s">
        <v>56</v>
      </c>
      <c r="H13" s="244">
        <v>44</v>
      </c>
      <c r="I13" s="52" t="s">
        <v>57</v>
      </c>
      <c r="J13" s="244">
        <v>0</v>
      </c>
      <c r="K13" s="56"/>
      <c r="L13" s="251"/>
      <c r="M13" s="404" t="str">
        <f>IF(H13&gt;0,IF(H12&gt;H13,"N3 nesmie biť &lt; N2"," ")," ")</f>
        <v xml:space="preserve"> </v>
      </c>
      <c r="N13" s="404"/>
      <c r="O13" s="248"/>
      <c r="P13" s="24"/>
    </row>
    <row r="14" spans="1:16" x14ac:dyDescent="0.2">
      <c r="A14" s="23"/>
      <c r="B14" s="37"/>
      <c r="C14" s="58"/>
      <c r="D14" s="59"/>
      <c r="E14" s="60"/>
      <c r="F14" s="61"/>
      <c r="G14" s="62"/>
      <c r="H14" s="61"/>
      <c r="I14" s="62"/>
      <c r="J14" s="61"/>
      <c r="K14" s="63"/>
      <c r="L14" s="252"/>
      <c r="M14" s="404" t="str">
        <f>IF(J13&gt;0, IF(H13+J13&gt;H6,"NL+N3 nesmie biť &gt; P"," ")," ")</f>
        <v xml:space="preserve"> </v>
      </c>
      <c r="N14" s="404"/>
      <c r="O14" s="65"/>
      <c r="P14" s="24"/>
    </row>
    <row r="15" spans="1:16" x14ac:dyDescent="0.2">
      <c r="A15" s="23"/>
      <c r="B15" s="272"/>
      <c r="C15" s="260"/>
      <c r="D15" s="261"/>
      <c r="E15" s="262"/>
      <c r="F15" s="263"/>
      <c r="G15" s="264"/>
      <c r="H15" s="265"/>
      <c r="I15" s="264"/>
      <c r="J15" s="263"/>
      <c r="K15" s="270"/>
      <c r="L15" s="253"/>
      <c r="M15" s="404" t="str">
        <f>IF(H11&gt;H6,"N1 nesmie biť &gt; P"," ")</f>
        <v xml:space="preserve"> </v>
      </c>
      <c r="N15" s="404"/>
      <c r="O15" s="67"/>
      <c r="P15" s="24"/>
    </row>
    <row r="16" spans="1:16" ht="18" x14ac:dyDescent="0.2">
      <c r="A16" s="23"/>
      <c r="B16" s="272"/>
      <c r="C16" s="376" t="s">
        <v>217</v>
      </c>
      <c r="D16" s="376"/>
      <c r="E16" s="274">
        <f>SUM(1*H13)/(H6-J13)</f>
        <v>0.88</v>
      </c>
      <c r="F16" s="376" t="s">
        <v>58</v>
      </c>
      <c r="G16" s="376"/>
      <c r="H16" s="377"/>
      <c r="I16" s="266" t="s">
        <v>59</v>
      </c>
      <c r="J16" s="95">
        <f>((H11-H10)*(E18/2)+(H12-H11)*(E18+E19)/2+(H13-H12)*(E19+E20)/2+(H6-H13-J13)*(E20+H5/2))/(H6-H10-J13)+((J13*E20)/(H13-H10))</f>
        <v>12.42</v>
      </c>
      <c r="K16" s="68"/>
      <c r="L16" s="254"/>
      <c r="M16" s="404" t="str">
        <f>IF(H12&gt;H6,"N2 nesmie biť &gt; P"," ")</f>
        <v xml:space="preserve"> </v>
      </c>
      <c r="N16" s="404"/>
      <c r="O16" s="255"/>
      <c r="P16" s="24"/>
    </row>
    <row r="17" spans="1:16" ht="18" x14ac:dyDescent="0.25">
      <c r="A17" s="23"/>
      <c r="B17" s="272"/>
      <c r="C17" s="275" t="s">
        <v>198</v>
      </c>
      <c r="D17" s="260"/>
      <c r="E17" s="260"/>
      <c r="F17" s="269"/>
      <c r="G17" s="268"/>
      <c r="H17" s="268"/>
      <c r="I17" s="374">
        <f>SUM(H6-(J16))/(H5)*(10*E16)/10</f>
        <v>3.6744888888888894</v>
      </c>
      <c r="J17" s="375"/>
      <c r="K17" s="271"/>
      <c r="L17" s="256"/>
      <c r="M17" s="404" t="str">
        <f>IF(H13&gt;H6,"N3 nesmie biť &gt; P"," ")</f>
        <v xml:space="preserve"> </v>
      </c>
      <c r="N17" s="404"/>
      <c r="O17" s="42"/>
      <c r="P17" s="24"/>
    </row>
    <row r="18" spans="1:16" x14ac:dyDescent="0.2">
      <c r="A18" s="23"/>
      <c r="B18" s="71"/>
      <c r="C18" s="72" t="s">
        <v>60</v>
      </c>
      <c r="D18" s="73" t="s">
        <v>61</v>
      </c>
      <c r="E18" s="74" t="str">
        <f>UPPER(H5)</f>
        <v>9</v>
      </c>
      <c r="F18" s="75"/>
      <c r="G18" s="75"/>
      <c r="H18" s="75"/>
      <c r="I18" s="96" t="s">
        <v>102</v>
      </c>
      <c r="J18" s="75"/>
      <c r="K18" s="75"/>
      <c r="L18" s="75"/>
      <c r="M18" s="75"/>
      <c r="N18" s="75"/>
      <c r="O18" s="75"/>
      <c r="P18" s="24"/>
    </row>
    <row r="19" spans="1:16" x14ac:dyDescent="0.2">
      <c r="A19" s="23"/>
      <c r="B19" s="76"/>
      <c r="C19" s="77" t="s">
        <v>62</v>
      </c>
      <c r="D19" s="78" t="s">
        <v>63</v>
      </c>
      <c r="E19" s="79">
        <f>SUM(E18)+2*H5</f>
        <v>18</v>
      </c>
      <c r="F19" s="75"/>
      <c r="G19" s="80"/>
      <c r="H19" s="75"/>
      <c r="I19" s="81" t="s">
        <v>103</v>
      </c>
      <c r="J19" s="81"/>
      <c r="K19" s="81"/>
      <c r="L19" s="81"/>
      <c r="M19" s="81"/>
      <c r="N19" s="81"/>
      <c r="O19" s="81"/>
      <c r="P19" s="24"/>
    </row>
    <row r="20" spans="1:16" ht="15" x14ac:dyDescent="0.25">
      <c r="A20" s="23"/>
      <c r="B20" s="82"/>
      <c r="C20" s="83" t="s">
        <v>64</v>
      </c>
      <c r="D20" s="84" t="s">
        <v>65</v>
      </c>
      <c r="E20" s="85">
        <f>SUM(E19)+H5</f>
        <v>27</v>
      </c>
      <c r="F20" s="75"/>
      <c r="G20" s="80"/>
      <c r="H20" s="75"/>
      <c r="I20" s="86" t="s">
        <v>66</v>
      </c>
      <c r="J20" s="81"/>
      <c r="K20" s="81"/>
      <c r="L20" s="81"/>
      <c r="M20" s="81"/>
      <c r="N20" s="81"/>
      <c r="O20" s="81"/>
      <c r="P20" s="24"/>
    </row>
    <row r="21" spans="1:16" x14ac:dyDescent="0.2">
      <c r="A21" s="23"/>
      <c r="B21" s="75"/>
      <c r="C21" s="75"/>
      <c r="D21" s="75"/>
      <c r="E21" s="75"/>
      <c r="F21" s="75"/>
      <c r="G21" s="75"/>
      <c r="H21" s="75"/>
      <c r="I21" s="81"/>
      <c r="J21" s="81"/>
      <c r="K21" s="81"/>
      <c r="L21" s="81"/>
      <c r="M21" s="81"/>
      <c r="N21" s="81"/>
      <c r="O21" s="81"/>
      <c r="P21" s="24"/>
    </row>
    <row r="22" spans="1:16" ht="15" x14ac:dyDescent="0.2">
      <c r="A22" s="378" t="s">
        <v>104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80"/>
    </row>
    <row r="23" spans="1:16" ht="13.5" thickBot="1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</row>
    <row r="26" spans="1:16" x14ac:dyDescent="0.2">
      <c r="C26" s="90"/>
    </row>
    <row r="27" spans="1:16" x14ac:dyDescent="0.2">
      <c r="C27" s="1"/>
    </row>
    <row r="28" spans="1:16" x14ac:dyDescent="0.2">
      <c r="C28" s="1"/>
    </row>
    <row r="29" spans="1:16" x14ac:dyDescent="0.2">
      <c r="C29" s="1"/>
    </row>
    <row r="30" spans="1:16" x14ac:dyDescent="0.2">
      <c r="C30" s="1"/>
    </row>
    <row r="31" spans="1:16" x14ac:dyDescent="0.2">
      <c r="C31" s="1"/>
      <c r="E31" s="257"/>
    </row>
    <row r="32" spans="1:16" x14ac:dyDescent="0.2">
      <c r="D32" s="1"/>
      <c r="H32" s="1"/>
    </row>
    <row r="33" spans="3:8" x14ac:dyDescent="0.2">
      <c r="C33" s="1"/>
    </row>
    <row r="34" spans="3:8" x14ac:dyDescent="0.2">
      <c r="C34" s="1"/>
    </row>
    <row r="35" spans="3:8" x14ac:dyDescent="0.2">
      <c r="C35" s="1"/>
    </row>
    <row r="37" spans="3:8" x14ac:dyDescent="0.2">
      <c r="C37" s="90"/>
      <c r="D37" s="1"/>
      <c r="H37" s="1"/>
    </row>
    <row r="38" spans="3:8" x14ac:dyDescent="0.2">
      <c r="C38" s="1"/>
    </row>
    <row r="39" spans="3:8" x14ac:dyDescent="0.2">
      <c r="C39" s="1"/>
    </row>
    <row r="40" spans="3:8" x14ac:dyDescent="0.2">
      <c r="C40" s="1"/>
    </row>
    <row r="42" spans="3:8" x14ac:dyDescent="0.2">
      <c r="D42" s="1"/>
      <c r="H42" s="1"/>
    </row>
    <row r="43" spans="3:8" x14ac:dyDescent="0.2">
      <c r="C43" s="1"/>
    </row>
    <row r="44" spans="3:8" x14ac:dyDescent="0.2">
      <c r="C44" s="1"/>
    </row>
    <row r="45" spans="3:8" x14ac:dyDescent="0.2">
      <c r="C45" s="1"/>
    </row>
  </sheetData>
  <sheetProtection password="B011" sheet="1" objects="1" scenarios="1"/>
  <mergeCells count="34">
    <mergeCell ref="M13:N13"/>
    <mergeCell ref="M14:N14"/>
    <mergeCell ref="M16:N16"/>
    <mergeCell ref="I17:J17"/>
    <mergeCell ref="A22:P22"/>
    <mergeCell ref="M15:N15"/>
    <mergeCell ref="M17:N17"/>
    <mergeCell ref="F16:H16"/>
    <mergeCell ref="C16:D16"/>
    <mergeCell ref="I9:J9"/>
    <mergeCell ref="M9:N9"/>
    <mergeCell ref="M10:N10"/>
    <mergeCell ref="I11:J12"/>
    <mergeCell ref="M11:N11"/>
    <mergeCell ref="M12:N12"/>
    <mergeCell ref="B4:K4"/>
    <mergeCell ref="M4:N4"/>
    <mergeCell ref="M5:N5"/>
    <mergeCell ref="M6:N6"/>
    <mergeCell ref="C8:E8"/>
    <mergeCell ref="M8:N8"/>
    <mergeCell ref="M3:N3"/>
    <mergeCell ref="A1:H1"/>
    <mergeCell ref="I1:M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hyperlinks>
    <hyperlink ref="I20" r:id="rId1" xr:uid="{00000000-0004-0000-05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workbookViewId="0">
      <selection activeCell="F34" sqref="F34"/>
    </sheetView>
  </sheetViews>
  <sheetFormatPr defaultRowHeight="12.75" x14ac:dyDescent="0.2"/>
  <cols>
    <col min="1" max="1" width="2.85546875" customWidth="1"/>
    <col min="2" max="2" width="22.85546875" customWidth="1"/>
    <col min="3" max="3" width="14.7109375" customWidth="1"/>
    <col min="4" max="6" width="15.5703125" customWidth="1"/>
    <col min="7" max="7" width="13.7109375" customWidth="1"/>
    <col min="8" max="8" width="10.5703125" customWidth="1"/>
    <col min="9" max="9" width="2.85546875" customWidth="1"/>
  </cols>
  <sheetData>
    <row r="1" spans="1:10" s="188" customFormat="1" ht="16.5" customHeight="1" x14ac:dyDescent="0.25">
      <c r="A1" s="434" t="s">
        <v>170</v>
      </c>
      <c r="B1" s="435"/>
      <c r="C1" s="435"/>
      <c r="D1" s="435"/>
      <c r="E1" s="435"/>
      <c r="F1" s="435"/>
      <c r="G1" s="435"/>
      <c r="H1" s="436" t="str">
        <f>UPPER(A3)</f>
        <v>SOK250001</v>
      </c>
      <c r="I1" s="436"/>
      <c r="J1" s="437"/>
    </row>
    <row r="2" spans="1:10" ht="15.75" customHeight="1" x14ac:dyDescent="0.2">
      <c r="A2" s="441" t="s">
        <v>67</v>
      </c>
      <c r="B2" s="442"/>
      <c r="C2" s="443" t="s">
        <v>146</v>
      </c>
      <c r="D2" s="444"/>
      <c r="E2" s="445" t="s">
        <v>147</v>
      </c>
      <c r="F2" s="446"/>
      <c r="G2" s="447" t="s">
        <v>148</v>
      </c>
      <c r="H2" s="448"/>
      <c r="I2" s="449" t="s">
        <v>20</v>
      </c>
      <c r="J2" s="449"/>
    </row>
    <row r="3" spans="1:10" ht="15.75" x14ac:dyDescent="0.2">
      <c r="A3" s="438" t="str">
        <f>UPPER('Karta matky'!B12)</f>
        <v>SOK250001</v>
      </c>
      <c r="B3" s="438"/>
      <c r="C3" s="439" t="str">
        <f>UPPER('Karta matky'!C12)</f>
        <v/>
      </c>
      <c r="D3" s="439"/>
      <c r="E3" s="439" t="str">
        <f>UPPER('Karta matky'!D12)</f>
        <v/>
      </c>
      <c r="F3" s="439"/>
      <c r="G3" s="439" t="str">
        <f>UPPER('Karta matky'!E12)</f>
        <v/>
      </c>
      <c r="H3" s="439"/>
      <c r="I3" s="440">
        <f>VALUE('Karta matky'!H12)</f>
        <v>0</v>
      </c>
      <c r="J3" s="440"/>
    </row>
    <row r="4" spans="1:10" ht="12.75" customHeight="1" x14ac:dyDescent="0.2">
      <c r="A4" s="166"/>
      <c r="B4" s="178" t="s">
        <v>168</v>
      </c>
      <c r="C4" s="167"/>
      <c r="D4" s="167"/>
      <c r="E4" s="168"/>
      <c r="F4" s="168"/>
      <c r="G4" s="168"/>
      <c r="H4" s="168"/>
      <c r="I4" s="419"/>
      <c r="J4" s="420"/>
    </row>
    <row r="5" spans="1:10" ht="12.75" customHeight="1" x14ac:dyDescent="0.2">
      <c r="A5" s="169"/>
      <c r="B5" s="183" t="s">
        <v>152</v>
      </c>
      <c r="C5" s="181"/>
      <c r="D5" s="181"/>
      <c r="E5" s="100"/>
      <c r="F5" s="100"/>
      <c r="G5" s="100"/>
      <c r="H5" s="100"/>
      <c r="I5" s="421"/>
      <c r="J5" s="422"/>
    </row>
    <row r="6" spans="1:10" ht="3" customHeight="1" thickBot="1" x14ac:dyDescent="0.25">
      <c r="A6" s="170"/>
      <c r="B6" s="100"/>
      <c r="C6" s="100"/>
      <c r="D6" s="100"/>
      <c r="E6" s="100"/>
      <c r="F6" s="100"/>
      <c r="G6" s="100"/>
      <c r="H6" s="100"/>
      <c r="I6" s="421"/>
      <c r="J6" s="422"/>
    </row>
    <row r="7" spans="1:10" ht="12.75" customHeight="1" x14ac:dyDescent="0.2">
      <c r="A7" s="170"/>
      <c r="B7" s="179" t="s">
        <v>149</v>
      </c>
      <c r="C7" s="425" t="s">
        <v>112</v>
      </c>
      <c r="D7" s="425" t="s">
        <v>154</v>
      </c>
      <c r="E7" s="429" t="s">
        <v>166</v>
      </c>
      <c r="F7" s="426" t="s">
        <v>150</v>
      </c>
      <c r="G7" s="100"/>
      <c r="H7" s="100"/>
      <c r="I7" s="421"/>
      <c r="J7" s="422"/>
    </row>
    <row r="8" spans="1:10" ht="12.75" customHeight="1" thickBot="1" x14ac:dyDescent="0.25">
      <c r="A8" s="170"/>
      <c r="B8" s="107"/>
      <c r="C8" s="428"/>
      <c r="D8" s="414"/>
      <c r="E8" s="414"/>
      <c r="F8" s="427"/>
      <c r="G8" s="100"/>
      <c r="H8" s="100"/>
      <c r="I8" s="421"/>
      <c r="J8" s="422"/>
    </row>
    <row r="9" spans="1:10" ht="12.75" customHeight="1" x14ac:dyDescent="0.2">
      <c r="A9" s="170"/>
      <c r="B9" s="153" t="s">
        <v>145</v>
      </c>
      <c r="C9" s="158">
        <v>3.5</v>
      </c>
      <c r="D9" s="159">
        <v>80</v>
      </c>
      <c r="E9" s="160">
        <f>IF((C9&gt;0),C9*D9,0)</f>
        <v>280</v>
      </c>
      <c r="F9" s="161">
        <f>IF(E9&gt;0,-E9/47.57+15674.6/E9+44.54,"")</f>
        <v>94.63465164119043</v>
      </c>
      <c r="G9" s="100"/>
      <c r="H9" s="100"/>
      <c r="I9" s="421"/>
      <c r="J9" s="422"/>
    </row>
    <row r="10" spans="1:10" ht="12.75" customHeight="1" x14ac:dyDescent="0.2">
      <c r="A10" s="170"/>
      <c r="B10" s="180" t="s">
        <v>155</v>
      </c>
      <c r="C10" s="100"/>
      <c r="D10" s="100"/>
      <c r="E10" s="100"/>
      <c r="F10" s="100"/>
      <c r="G10" s="100"/>
      <c r="H10" s="100"/>
      <c r="I10" s="421"/>
      <c r="J10" s="422"/>
    </row>
    <row r="11" spans="1:10" ht="12.75" customHeight="1" thickBot="1" x14ac:dyDescent="0.25">
      <c r="A11" s="170"/>
      <c r="B11" s="183" t="s">
        <v>151</v>
      </c>
      <c r="C11" s="182"/>
      <c r="D11" s="181"/>
      <c r="E11" s="100"/>
      <c r="F11" s="100"/>
      <c r="G11" s="100"/>
      <c r="H11" s="100"/>
      <c r="I11" s="421"/>
      <c r="J11" s="422"/>
    </row>
    <row r="12" spans="1:10" ht="12.75" customHeight="1" thickBot="1" x14ac:dyDescent="0.3">
      <c r="A12" s="170"/>
      <c r="B12" s="411" t="s">
        <v>164</v>
      </c>
      <c r="C12" s="412"/>
      <c r="D12" s="413"/>
      <c r="E12" s="217">
        <v>40683</v>
      </c>
      <c r="F12" s="100"/>
      <c r="G12" s="100"/>
      <c r="H12" s="100"/>
      <c r="I12" s="421"/>
      <c r="J12" s="422"/>
    </row>
    <row r="13" spans="1:10" ht="12.75" customHeight="1" x14ac:dyDescent="0.2">
      <c r="A13" s="170"/>
      <c r="B13" s="154" t="s">
        <v>157</v>
      </c>
      <c r="C13" s="155" t="s">
        <v>153</v>
      </c>
      <c r="D13" s="414" t="s">
        <v>154</v>
      </c>
      <c r="E13" s="416" t="s">
        <v>165</v>
      </c>
      <c r="F13" s="417"/>
      <c r="G13" s="418"/>
      <c r="H13" s="425" t="s">
        <v>166</v>
      </c>
      <c r="I13" s="421"/>
      <c r="J13" s="422"/>
    </row>
    <row r="14" spans="1:10" ht="12.75" customHeight="1" thickBot="1" x14ac:dyDescent="0.25">
      <c r="A14" s="170"/>
      <c r="B14" s="120"/>
      <c r="C14" s="121"/>
      <c r="D14" s="415"/>
      <c r="E14" s="122" t="s">
        <v>156</v>
      </c>
      <c r="F14" s="122" t="s">
        <v>167</v>
      </c>
      <c r="G14" s="122" t="s">
        <v>136</v>
      </c>
      <c r="H14" s="415"/>
      <c r="I14" s="421"/>
      <c r="J14" s="422"/>
    </row>
    <row r="15" spans="1:10" ht="12.75" customHeight="1" thickBot="1" x14ac:dyDescent="0.25">
      <c r="A15" s="170"/>
      <c r="B15" s="190" t="s">
        <v>158</v>
      </c>
      <c r="C15" s="124" t="s">
        <v>161</v>
      </c>
      <c r="D15" s="125">
        <v>10</v>
      </c>
      <c r="E15" s="156">
        <v>800</v>
      </c>
      <c r="F15" s="156">
        <v>50</v>
      </c>
      <c r="G15" s="156">
        <v>1</v>
      </c>
      <c r="H15" s="150">
        <f>IF(G15=0,"",IF(E15&gt;0,IF(F15&gt;0,IF(G15&lt;=F15,IF(E15&gt;=0,IF(G15&lt;&gt;"",G15*E15*D15/F15,""),""),"chyba !"),""),""))</f>
        <v>160</v>
      </c>
      <c r="I15" s="421"/>
      <c r="J15" s="422"/>
    </row>
    <row r="16" spans="1:10" ht="12.75" customHeight="1" thickBot="1" x14ac:dyDescent="0.25">
      <c r="A16" s="170"/>
      <c r="B16" s="191" t="s">
        <v>159</v>
      </c>
      <c r="C16" s="124" t="s">
        <v>161</v>
      </c>
      <c r="D16" s="131">
        <v>1.8</v>
      </c>
      <c r="E16" s="157">
        <v>12000</v>
      </c>
      <c r="F16" s="157">
        <v>200</v>
      </c>
      <c r="G16" s="157">
        <v>1</v>
      </c>
      <c r="H16" s="151">
        <f>IF(G16=0,"",IF(E16&gt;0,IF(F16&gt;0,IF(G16&lt;=F16,IF(E16&gt;=0,IF(G16&lt;&gt;"",G16*E16*D16/F16,""),""),"chyba !"),""),""))</f>
        <v>108</v>
      </c>
      <c r="I16" s="421"/>
      <c r="J16" s="422"/>
    </row>
    <row r="17" spans="1:10" ht="12.75" customHeight="1" x14ac:dyDescent="0.2">
      <c r="A17" s="170"/>
      <c r="B17" s="192" t="s">
        <v>160</v>
      </c>
      <c r="C17" s="124" t="s">
        <v>161</v>
      </c>
      <c r="D17" s="137">
        <v>2.9</v>
      </c>
      <c r="E17" s="157">
        <v>42000</v>
      </c>
      <c r="F17" s="157">
        <v>300</v>
      </c>
      <c r="G17" s="157">
        <v>1</v>
      </c>
      <c r="H17" s="152">
        <f>IF(G17=0,"",IF(E17&gt;0,IF(F17&gt;0,IF(G17&lt;=F17,IF(E17&gt;=0,IF(G17&lt;&gt;"",G17*E17*D17/F17,""),""),"chyba !"),""),""))</f>
        <v>406</v>
      </c>
      <c r="I17" s="421"/>
      <c r="J17" s="422"/>
    </row>
    <row r="18" spans="1:10" ht="12.75" customHeight="1" thickBot="1" x14ac:dyDescent="0.25">
      <c r="A18" s="170"/>
      <c r="B18" s="100"/>
      <c r="C18" s="100"/>
      <c r="D18" s="100"/>
      <c r="E18" s="100"/>
      <c r="F18" s="100"/>
      <c r="G18" s="100"/>
      <c r="H18" s="189">
        <f>IFERROR(AVERAGE(H15:H17),"")</f>
        <v>224.66666666666666</v>
      </c>
      <c r="I18" s="421"/>
      <c r="J18" s="422"/>
    </row>
    <row r="19" spans="1:10" ht="12.75" customHeight="1" thickBot="1" x14ac:dyDescent="0.25">
      <c r="A19" s="170"/>
      <c r="B19" s="411" t="s">
        <v>163</v>
      </c>
      <c r="C19" s="423"/>
      <c r="D19" s="424"/>
      <c r="E19" s="217">
        <v>40714</v>
      </c>
      <c r="F19" s="100"/>
      <c r="G19" s="100"/>
      <c r="H19" s="100"/>
      <c r="I19" s="421"/>
      <c r="J19" s="422"/>
    </row>
    <row r="20" spans="1:10" ht="12.75" customHeight="1" x14ac:dyDescent="0.2">
      <c r="A20" s="170"/>
      <c r="B20" s="154" t="s">
        <v>157</v>
      </c>
      <c r="C20" s="155" t="s">
        <v>153</v>
      </c>
      <c r="D20" s="414" t="s">
        <v>154</v>
      </c>
      <c r="E20" s="416" t="s">
        <v>165</v>
      </c>
      <c r="F20" s="417"/>
      <c r="G20" s="418"/>
      <c r="H20" s="425" t="s">
        <v>166</v>
      </c>
      <c r="I20" s="421"/>
      <c r="J20" s="422"/>
    </row>
    <row r="21" spans="1:10" ht="12.75" customHeight="1" thickBot="1" x14ac:dyDescent="0.25">
      <c r="A21" s="170"/>
      <c r="B21" s="120"/>
      <c r="C21" s="121"/>
      <c r="D21" s="415"/>
      <c r="E21" s="122" t="s">
        <v>156</v>
      </c>
      <c r="F21" s="122" t="s">
        <v>167</v>
      </c>
      <c r="G21" s="122" t="s">
        <v>136</v>
      </c>
      <c r="H21" s="415"/>
      <c r="I21" s="421"/>
      <c r="J21" s="422"/>
    </row>
    <row r="22" spans="1:10" ht="12.75" customHeight="1" thickBot="1" x14ac:dyDescent="0.25">
      <c r="A22" s="170"/>
      <c r="B22" s="190" t="s">
        <v>158</v>
      </c>
      <c r="C22" s="124" t="s">
        <v>161</v>
      </c>
      <c r="D22" s="125">
        <v>10</v>
      </c>
      <c r="E22" s="156">
        <v>800</v>
      </c>
      <c r="F22" s="156">
        <v>50</v>
      </c>
      <c r="G22" s="156">
        <v>0</v>
      </c>
      <c r="H22" s="150" t="str">
        <f>IF(G22=0,"",IF(E22&gt;0,IF(F22&gt;0,IF(G22&lt;=F22,IF(E22&gt;=0,IF(G22&lt;&gt;"",G22*E22*D22/F22,""),""),"chyba !"),""),""))</f>
        <v/>
      </c>
      <c r="I22" s="421"/>
      <c r="J22" s="422"/>
    </row>
    <row r="23" spans="1:10" ht="12.75" customHeight="1" thickBot="1" x14ac:dyDescent="0.25">
      <c r="A23" s="170"/>
      <c r="B23" s="191" t="s">
        <v>159</v>
      </c>
      <c r="C23" s="124" t="s">
        <v>161</v>
      </c>
      <c r="D23" s="131">
        <v>1.8</v>
      </c>
      <c r="E23" s="157">
        <v>12000</v>
      </c>
      <c r="F23" s="157">
        <v>200</v>
      </c>
      <c r="G23" s="157">
        <v>0</v>
      </c>
      <c r="H23" s="151" t="str">
        <f>IF(G23=0,"",IF(E23&gt;0,IF(F23&gt;0,IF(G23&lt;=F23,IF(E23&gt;=0,IF(G23&lt;&gt;"",G23*E23*D23/F23,""),""),"chyba !"),""),""))</f>
        <v/>
      </c>
      <c r="I23" s="421"/>
      <c r="J23" s="422"/>
    </row>
    <row r="24" spans="1:10" ht="12.75" customHeight="1" x14ac:dyDescent="0.2">
      <c r="A24" s="170"/>
      <c r="B24" s="192" t="s">
        <v>160</v>
      </c>
      <c r="C24" s="124" t="s">
        <v>161</v>
      </c>
      <c r="D24" s="137">
        <v>2.9</v>
      </c>
      <c r="E24" s="157">
        <v>42000</v>
      </c>
      <c r="F24" s="157">
        <v>300</v>
      </c>
      <c r="G24" s="157">
        <v>2</v>
      </c>
      <c r="H24" s="152">
        <f>IF(G24=0,"",IF(E24&gt;0,IF(F24&gt;0,IF(G24&lt;=F24,IF(E24&gt;=0,IF(G24&lt;&gt;"",G24*E24*D24/F24,""),""),"chyba !"),""),""))</f>
        <v>812</v>
      </c>
      <c r="I24" s="421"/>
      <c r="J24" s="422"/>
    </row>
    <row r="25" spans="1:10" ht="12.75" customHeight="1" thickBot="1" x14ac:dyDescent="0.25">
      <c r="A25" s="170"/>
      <c r="B25" s="100"/>
      <c r="C25" s="100"/>
      <c r="D25" s="100"/>
      <c r="E25" s="100"/>
      <c r="F25" s="100"/>
      <c r="G25" s="100"/>
      <c r="H25" s="189">
        <f>IFERROR(AVERAGE(H22:H24),"")</f>
        <v>812</v>
      </c>
      <c r="I25" s="421"/>
      <c r="J25" s="422"/>
    </row>
    <row r="26" spans="1:10" ht="12.75" customHeight="1" thickBot="1" x14ac:dyDescent="0.25">
      <c r="A26" s="170"/>
      <c r="B26" s="411" t="s">
        <v>162</v>
      </c>
      <c r="C26" s="423"/>
      <c r="D26" s="424"/>
      <c r="E26" s="217">
        <v>40753</v>
      </c>
      <c r="F26" s="100"/>
      <c r="G26" s="100"/>
      <c r="H26" s="100"/>
      <c r="I26" s="421"/>
      <c r="J26" s="422"/>
    </row>
    <row r="27" spans="1:10" ht="12.75" customHeight="1" x14ac:dyDescent="0.2">
      <c r="A27" s="170"/>
      <c r="B27" s="154" t="s">
        <v>157</v>
      </c>
      <c r="C27" s="155" t="s">
        <v>153</v>
      </c>
      <c r="D27" s="414" t="s">
        <v>154</v>
      </c>
      <c r="E27" s="416" t="s">
        <v>165</v>
      </c>
      <c r="F27" s="417"/>
      <c r="G27" s="418"/>
      <c r="H27" s="425" t="s">
        <v>166</v>
      </c>
      <c r="I27" s="421"/>
      <c r="J27" s="422"/>
    </row>
    <row r="28" spans="1:10" ht="12.75" customHeight="1" thickBot="1" x14ac:dyDescent="0.25">
      <c r="A28" s="170"/>
      <c r="B28" s="120"/>
      <c r="C28" s="121"/>
      <c r="D28" s="415"/>
      <c r="E28" s="122" t="s">
        <v>156</v>
      </c>
      <c r="F28" s="122" t="s">
        <v>167</v>
      </c>
      <c r="G28" s="122" t="s">
        <v>136</v>
      </c>
      <c r="H28" s="415"/>
      <c r="I28" s="421"/>
      <c r="J28" s="422"/>
    </row>
    <row r="29" spans="1:10" ht="12.75" customHeight="1" thickBot="1" x14ac:dyDescent="0.25">
      <c r="A29" s="170"/>
      <c r="B29" s="190" t="s">
        <v>158</v>
      </c>
      <c r="C29" s="124" t="s">
        <v>161</v>
      </c>
      <c r="D29" s="125">
        <v>10</v>
      </c>
      <c r="E29" s="156">
        <v>800</v>
      </c>
      <c r="F29" s="156">
        <v>50</v>
      </c>
      <c r="G29" s="156">
        <v>0</v>
      </c>
      <c r="H29" s="150" t="str">
        <f>IF(G29=0,"",IF(E29&gt;0,IF(F29&gt;0,IF(G29&lt;=F29,IF(E29&gt;=0,IF(G29&lt;&gt;"",G29*E29*D29/F29,""),""),"chyba !"),""),""))</f>
        <v/>
      </c>
      <c r="I29" s="421"/>
      <c r="J29" s="422"/>
    </row>
    <row r="30" spans="1:10" ht="12.75" customHeight="1" thickBot="1" x14ac:dyDescent="0.25">
      <c r="A30" s="170"/>
      <c r="B30" s="191" t="s">
        <v>159</v>
      </c>
      <c r="C30" s="124" t="s">
        <v>161</v>
      </c>
      <c r="D30" s="131">
        <v>1.8</v>
      </c>
      <c r="E30" s="157">
        <v>12000</v>
      </c>
      <c r="F30" s="157">
        <v>200</v>
      </c>
      <c r="G30" s="157">
        <v>0</v>
      </c>
      <c r="H30" s="151" t="str">
        <f>IF(G30=0,"",IF(E30&gt;0,IF(F30&gt;0,IF(G30&lt;=F30,IF(E30&gt;=0,IF(G30&lt;&gt;"",G30*E30*D30/F30,""),""),"chyba !"),""),""))</f>
        <v/>
      </c>
      <c r="I30" s="421"/>
      <c r="J30" s="422"/>
    </row>
    <row r="31" spans="1:10" ht="12.75" customHeight="1" x14ac:dyDescent="0.2">
      <c r="A31" s="170"/>
      <c r="B31" s="192" t="s">
        <v>160</v>
      </c>
      <c r="C31" s="124" t="s">
        <v>161</v>
      </c>
      <c r="D31" s="137">
        <v>2.9</v>
      </c>
      <c r="E31" s="157">
        <v>42000</v>
      </c>
      <c r="F31" s="157">
        <v>300</v>
      </c>
      <c r="G31" s="157">
        <v>6</v>
      </c>
      <c r="H31" s="152">
        <f>IF(G31=0,"",IF(E31&gt;0,IF(F31&gt;0,IF(G31&lt;=F31,IF(E31&gt;=0,IF(G31&lt;&gt;"",G31*E31*D31/F31,""),""),"chyba !"),""),""))</f>
        <v>2436</v>
      </c>
      <c r="I31" s="421"/>
      <c r="J31" s="422"/>
    </row>
    <row r="32" spans="1:10" ht="12.75" customHeight="1" x14ac:dyDescent="0.2">
      <c r="A32" s="170"/>
      <c r="B32" s="171"/>
      <c r="C32" s="171"/>
      <c r="D32" s="171"/>
      <c r="E32" s="171"/>
      <c r="F32" s="171"/>
      <c r="G32" s="171"/>
      <c r="H32" s="189">
        <f>IFERROR(AVERAGE(H29:H31),"")</f>
        <v>2436</v>
      </c>
      <c r="I32" s="171"/>
      <c r="J32" s="172"/>
    </row>
    <row r="33" spans="1:10" ht="12.75" customHeight="1" x14ac:dyDescent="0.2">
      <c r="A33" s="170"/>
      <c r="B33" s="410" t="s">
        <v>171</v>
      </c>
      <c r="C33" s="410"/>
      <c r="D33" s="212" t="s">
        <v>179</v>
      </c>
      <c r="E33" s="213" t="s">
        <v>180</v>
      </c>
      <c r="F33" s="218" t="s">
        <v>181</v>
      </c>
      <c r="G33" s="176"/>
      <c r="H33" s="171"/>
      <c r="I33" s="171"/>
      <c r="J33" s="172"/>
    </row>
    <row r="34" spans="1:10" ht="12.75" customHeight="1" x14ac:dyDescent="0.2">
      <c r="A34" s="170"/>
      <c r="B34" s="408" t="s">
        <v>172</v>
      </c>
      <c r="C34" s="409"/>
      <c r="D34" s="209">
        <f>(IFERROR(IF(H18&gt;=0,IF(H25&gt;=0,LN(H25/H18)/NETWORKDAYS(E12,E19))),0))</f>
        <v>5.8403750814430944E-2</v>
      </c>
      <c r="E34" s="210">
        <f>(IFERROR(IF(H25&gt;=0,IF(H32&gt;=0,LN(H32/H25)/NETWORKDAYS(E19,E26))),0))</f>
        <v>3.6620409622270325E-2</v>
      </c>
      <c r="F34" s="211">
        <f>(IFERROR(IF(H18&gt;=0,IF(H32&gt;=0,LN(H32/H18)/NETWORKDAYS(E12,E26))),0))</f>
        <v>4.6735192285991968E-2</v>
      </c>
      <c r="G34" s="177"/>
      <c r="H34" s="165"/>
      <c r="I34" s="165"/>
      <c r="J34" s="173"/>
    </row>
    <row r="35" spans="1:10" ht="12.75" customHeight="1" x14ac:dyDescent="0.2">
      <c r="A35" s="170"/>
      <c r="B35" s="430" t="s">
        <v>173</v>
      </c>
      <c r="C35" s="430"/>
      <c r="D35" s="214">
        <f>SUM(10-(D34*100))</f>
        <v>4.1596249185569061</v>
      </c>
      <c r="E35" s="215">
        <f>SUM(10-(E34*100))</f>
        <v>6.3379590377729675</v>
      </c>
      <c r="F35" s="216">
        <f>SUM(10-(F34*100))</f>
        <v>5.3264807714008029</v>
      </c>
      <c r="G35" s="184"/>
      <c r="H35" s="165"/>
      <c r="I35" s="165"/>
      <c r="J35" s="173"/>
    </row>
    <row r="36" spans="1:10" ht="12.75" customHeight="1" x14ac:dyDescent="0.2">
      <c r="A36" s="174"/>
      <c r="B36" s="185"/>
      <c r="C36" s="186"/>
      <c r="D36" s="187"/>
      <c r="E36" s="431" t="s">
        <v>169</v>
      </c>
      <c r="F36" s="431"/>
      <c r="G36" s="432" t="s">
        <v>66</v>
      </c>
      <c r="H36" s="432"/>
      <c r="I36" s="432"/>
      <c r="J36" s="433"/>
    </row>
    <row r="37" spans="1:10" x14ac:dyDescent="0.2">
      <c r="B37" s="162"/>
      <c r="C37" s="164"/>
      <c r="D37" s="163"/>
      <c r="E37" s="163"/>
      <c r="F37" s="163"/>
      <c r="G37" s="163"/>
      <c r="H37" s="162"/>
      <c r="I37" s="162"/>
      <c r="J37" s="162"/>
    </row>
  </sheetData>
  <sheetProtection password="B011" sheet="1" objects="1" scenarios="1"/>
  <protectedRanges>
    <protectedRange sqref="E15:G17 E22:G24 E29:G31" name="Oblast2"/>
    <protectedRange sqref="C9" name="Oblast1"/>
  </protectedRanges>
  <mergeCells count="34">
    <mergeCell ref="B35:C35"/>
    <mergeCell ref="E36:F36"/>
    <mergeCell ref="G36:J36"/>
    <mergeCell ref="A1:G1"/>
    <mergeCell ref="H1:J1"/>
    <mergeCell ref="A3:B3"/>
    <mergeCell ref="C3:D3"/>
    <mergeCell ref="E3:F3"/>
    <mergeCell ref="G3:H3"/>
    <mergeCell ref="I3:J3"/>
    <mergeCell ref="A2:B2"/>
    <mergeCell ref="C2:D2"/>
    <mergeCell ref="E2:F2"/>
    <mergeCell ref="G2:H2"/>
    <mergeCell ref="I2:J2"/>
    <mergeCell ref="H13:H14"/>
    <mergeCell ref="I4:J31"/>
    <mergeCell ref="B26:D26"/>
    <mergeCell ref="D27:D28"/>
    <mergeCell ref="E27:G27"/>
    <mergeCell ref="H27:H28"/>
    <mergeCell ref="B19:D19"/>
    <mergeCell ref="D20:D21"/>
    <mergeCell ref="E20:G20"/>
    <mergeCell ref="H20:H21"/>
    <mergeCell ref="F7:F8"/>
    <mergeCell ref="C7:C8"/>
    <mergeCell ref="D7:D8"/>
    <mergeCell ref="E7:E8"/>
    <mergeCell ref="B34:C34"/>
    <mergeCell ref="B33:C33"/>
    <mergeCell ref="B12:D12"/>
    <mergeCell ref="D13:D14"/>
    <mergeCell ref="E13:G13"/>
  </mergeCells>
  <hyperlinks>
    <hyperlink ref="G36:J36" r:id="rId1" display="carnicasokol@gmail.com" xr:uid="{00000000-0004-0000-0600-000000000000}"/>
  </hyperlinks>
  <pageMargins left="0.7" right="0.7" top="0.75" bottom="0.75" header="0.3" footer="0.3"/>
  <pageSetup paperSize="9" orientation="landscape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topLeftCell="A7" workbookViewId="0">
      <selection activeCell="B14" sqref="B14"/>
    </sheetView>
  </sheetViews>
  <sheetFormatPr defaultRowHeight="12.75" x14ac:dyDescent="0.2"/>
  <cols>
    <col min="1" max="1" width="2.85546875" customWidth="1"/>
    <col min="2" max="2" width="22.85546875" customWidth="1"/>
    <col min="3" max="3" width="11.5703125" customWidth="1"/>
    <col min="4" max="4" width="10.7109375" customWidth="1"/>
    <col min="5" max="5" width="15.28515625" customWidth="1"/>
    <col min="6" max="6" width="15.5703125" customWidth="1"/>
    <col min="7" max="7" width="13.7109375" customWidth="1"/>
    <col min="8" max="8" width="10.5703125" customWidth="1"/>
    <col min="9" max="9" width="11" customWidth="1"/>
    <col min="10" max="10" width="16.28515625" customWidth="1"/>
    <col min="11" max="11" width="2.85546875" customWidth="1"/>
  </cols>
  <sheetData>
    <row r="1" spans="1:11" ht="24.75" customHeight="1" x14ac:dyDescent="0.2">
      <c r="A1" s="97"/>
      <c r="B1" s="98" t="s">
        <v>107</v>
      </c>
      <c r="C1" s="99"/>
      <c r="D1" s="99"/>
      <c r="E1" s="99"/>
      <c r="F1" s="99"/>
      <c r="G1" s="99"/>
      <c r="H1" s="99"/>
      <c r="I1" s="99"/>
      <c r="J1" s="99"/>
      <c r="K1" s="100"/>
    </row>
    <row r="2" spans="1:11" ht="7.5" customHeight="1" x14ac:dyDescent="0.25">
      <c r="A2" s="97"/>
      <c r="B2" s="101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" customHeight="1" x14ac:dyDescent="0.25">
      <c r="A3" s="97"/>
      <c r="B3" s="101" t="s">
        <v>108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1" ht="7.5" customHeight="1" x14ac:dyDescent="0.2">
      <c r="A4" s="97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7.25" customHeight="1" x14ac:dyDescent="0.2">
      <c r="A5" s="97"/>
      <c r="B5" s="102" t="s">
        <v>109</v>
      </c>
      <c r="C5" s="103"/>
      <c r="D5" s="103"/>
      <c r="E5" s="100"/>
      <c r="F5" s="100"/>
      <c r="G5" s="100"/>
      <c r="H5" s="100"/>
      <c r="I5" s="100"/>
      <c r="J5" s="100"/>
      <c r="K5" s="100"/>
    </row>
    <row r="6" spans="1:11" ht="15" customHeight="1" x14ac:dyDescent="0.2">
      <c r="A6" s="97"/>
      <c r="B6" s="104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5" x14ac:dyDescent="0.25">
      <c r="A7" s="97"/>
      <c r="B7" s="105" t="s">
        <v>110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ht="6" customHeight="1" thickBo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4.25" customHeight="1" x14ac:dyDescent="0.2">
      <c r="A9" s="100"/>
      <c r="B9" s="106" t="s">
        <v>111</v>
      </c>
      <c r="C9" s="425" t="s">
        <v>112</v>
      </c>
      <c r="D9" s="425" t="s">
        <v>113</v>
      </c>
      <c r="E9" s="425" t="s">
        <v>114</v>
      </c>
      <c r="F9" s="452" t="s">
        <v>115</v>
      </c>
      <c r="G9" s="100"/>
      <c r="H9" s="100"/>
      <c r="I9" s="100"/>
      <c r="J9" s="100"/>
      <c r="K9" s="100"/>
    </row>
    <row r="10" spans="1:11" ht="15.75" customHeight="1" thickBot="1" x14ac:dyDescent="0.25">
      <c r="A10" s="100"/>
      <c r="B10" s="107"/>
      <c r="C10" s="450"/>
      <c r="D10" s="451"/>
      <c r="E10" s="451"/>
      <c r="F10" s="453"/>
      <c r="G10" s="100"/>
      <c r="H10" s="100"/>
      <c r="I10" s="100"/>
      <c r="J10" s="100"/>
      <c r="K10" s="100"/>
    </row>
    <row r="11" spans="1:11" ht="15" customHeight="1" x14ac:dyDescent="0.2">
      <c r="A11" s="100"/>
      <c r="B11" s="108" t="s">
        <v>116</v>
      </c>
      <c r="C11" s="454">
        <v>0.4</v>
      </c>
      <c r="D11" s="456">
        <v>400</v>
      </c>
      <c r="E11" s="458">
        <f>IF((C11&gt;0),C11*D11,0)</f>
        <v>160</v>
      </c>
      <c r="F11" s="109">
        <f>IF(E11&gt;0,-E11/36.86+12807.5/E11+194.55,"")</f>
        <v>270.2561262208356</v>
      </c>
      <c r="G11" s="100"/>
      <c r="H11" s="100"/>
      <c r="I11" s="100"/>
      <c r="J11" s="100"/>
      <c r="K11" s="100"/>
    </row>
    <row r="12" spans="1:11" ht="15" customHeight="1" x14ac:dyDescent="0.2">
      <c r="A12" s="100"/>
      <c r="B12" s="110" t="s">
        <v>117</v>
      </c>
      <c r="C12" s="455"/>
      <c r="D12" s="457"/>
      <c r="E12" s="459"/>
      <c r="F12" s="111">
        <f>IF(E11&gt;0,-E11/35.18+12160.2/E11+163.09,"")</f>
        <v>234.54321134167139</v>
      </c>
      <c r="G12" s="100"/>
      <c r="H12" s="100"/>
      <c r="I12" s="100"/>
      <c r="J12" s="100"/>
      <c r="K12" s="100"/>
    </row>
    <row r="13" spans="1:11" ht="15" customHeight="1" x14ac:dyDescent="0.2">
      <c r="A13" s="100"/>
      <c r="B13" s="110" t="s">
        <v>118</v>
      </c>
      <c r="C13" s="460">
        <v>0.25</v>
      </c>
      <c r="D13" s="461">
        <v>100</v>
      </c>
      <c r="E13" s="462">
        <f>IF((C13&gt;0),C13*D13,0)</f>
        <v>25</v>
      </c>
      <c r="F13" s="111">
        <f>IF(E13&gt;0,-E13/32.75+10920.9/E13+136.07,"")</f>
        <v>572.14264122137411</v>
      </c>
      <c r="G13" s="100"/>
      <c r="H13" s="100"/>
      <c r="I13" s="100"/>
      <c r="J13" s="100"/>
      <c r="K13" s="100"/>
    </row>
    <row r="14" spans="1:11" ht="15" customHeight="1" x14ac:dyDescent="0.2">
      <c r="A14" s="100"/>
      <c r="B14" s="110" t="s">
        <v>119</v>
      </c>
      <c r="C14" s="455"/>
      <c r="D14" s="457"/>
      <c r="E14" s="459"/>
      <c r="F14" s="111">
        <f>IF(E13&gt;0,-E13/31.37+10486.2/E13+104.48,"")</f>
        <v>523.13106024864521</v>
      </c>
      <c r="G14" s="100"/>
      <c r="H14" s="100"/>
      <c r="I14" s="100"/>
      <c r="J14" s="100"/>
      <c r="K14" s="100"/>
    </row>
    <row r="15" spans="1:11" ht="15" customHeight="1" x14ac:dyDescent="0.2">
      <c r="A15" s="100"/>
      <c r="B15" s="110" t="s">
        <v>120</v>
      </c>
      <c r="C15" s="460">
        <v>3.7</v>
      </c>
      <c r="D15" s="461">
        <v>80</v>
      </c>
      <c r="E15" s="462">
        <f>IF((C15&gt;0),C15*D15,0)</f>
        <v>296</v>
      </c>
      <c r="F15" s="471">
        <f>IF(E15&gt;0,-E15/47.57+15674.6/E15+44.54,"")</f>
        <v>91.272320648375938</v>
      </c>
      <c r="G15" s="100"/>
      <c r="H15" s="100"/>
      <c r="I15" s="100"/>
      <c r="J15" s="100"/>
      <c r="K15" s="100"/>
    </row>
    <row r="16" spans="1:11" ht="15" customHeight="1" x14ac:dyDescent="0.2">
      <c r="A16" s="100"/>
      <c r="B16" s="110" t="s">
        <v>121</v>
      </c>
      <c r="C16" s="463"/>
      <c r="D16" s="464"/>
      <c r="E16" s="465"/>
      <c r="F16" s="472"/>
      <c r="G16" s="100"/>
      <c r="H16" s="100"/>
      <c r="I16" s="100"/>
      <c r="J16" s="100"/>
      <c r="K16" s="100"/>
    </row>
    <row r="17" spans="1:11" ht="15" customHeight="1" x14ac:dyDescent="0.2">
      <c r="A17" s="100"/>
      <c r="B17" s="110" t="s">
        <v>122</v>
      </c>
      <c r="C17" s="463"/>
      <c r="D17" s="464"/>
      <c r="E17" s="465"/>
      <c r="F17" s="472"/>
      <c r="G17" s="100"/>
      <c r="H17" s="100"/>
      <c r="I17" s="100"/>
      <c r="J17" s="100"/>
      <c r="K17" s="100"/>
    </row>
    <row r="18" spans="1:11" ht="15" customHeight="1" x14ac:dyDescent="0.2">
      <c r="A18" s="100"/>
      <c r="B18" s="110" t="s">
        <v>123</v>
      </c>
      <c r="C18" s="455"/>
      <c r="D18" s="457"/>
      <c r="E18" s="459"/>
      <c r="F18" s="473"/>
      <c r="G18" s="100"/>
      <c r="H18" s="100"/>
      <c r="I18" s="100"/>
      <c r="J18" s="100"/>
      <c r="K18" s="100"/>
    </row>
    <row r="19" spans="1:11" ht="15" customHeight="1" x14ac:dyDescent="0.2">
      <c r="A19" s="100"/>
      <c r="B19" s="112" t="s">
        <v>124</v>
      </c>
      <c r="C19" s="460">
        <v>3</v>
      </c>
      <c r="D19" s="461">
        <v>100</v>
      </c>
      <c r="E19" s="462">
        <f>IF((C19&gt;0),C19*D19,0)</f>
        <v>300</v>
      </c>
      <c r="F19" s="113">
        <f>IF(E19&gt;0,-E19/47.57+15674.6/E19+44.54,"")</f>
        <v>90.48217097610538</v>
      </c>
      <c r="G19" s="100"/>
      <c r="H19" s="100"/>
      <c r="I19" s="100"/>
      <c r="J19" s="100"/>
      <c r="K19" s="100"/>
    </row>
    <row r="20" spans="1:11" ht="15" customHeight="1" x14ac:dyDescent="0.2">
      <c r="A20" s="100"/>
      <c r="B20" s="114" t="s">
        <v>125</v>
      </c>
      <c r="C20" s="455"/>
      <c r="D20" s="457"/>
      <c r="E20" s="459"/>
      <c r="F20" s="113">
        <f>IF(E19&gt;0,-E19/36.42+9735.6/E19+264.95,"")</f>
        <v>289.16476771004943</v>
      </c>
      <c r="G20" s="100"/>
      <c r="H20" s="100"/>
      <c r="I20" s="100"/>
      <c r="J20" s="100"/>
      <c r="K20" s="100"/>
    </row>
    <row r="21" spans="1:11" ht="15" customHeight="1" x14ac:dyDescent="0.2">
      <c r="A21" s="100"/>
      <c r="B21" s="114" t="s">
        <v>126</v>
      </c>
      <c r="C21" s="460">
        <v>1.5</v>
      </c>
      <c r="D21" s="461">
        <v>400</v>
      </c>
      <c r="E21" s="462">
        <f>IF((C21&gt;0),C21*D21,0)</f>
        <v>600</v>
      </c>
      <c r="F21" s="471">
        <f>IF(E21&gt;0,-E21/36.42+9735.6/E21+264.95,"")</f>
        <v>264.70153542009882</v>
      </c>
      <c r="G21" s="100"/>
      <c r="H21" s="100"/>
      <c r="I21" s="100"/>
      <c r="J21" s="100"/>
      <c r="K21" s="100"/>
    </row>
    <row r="22" spans="1:11" ht="15" customHeight="1" thickBot="1" x14ac:dyDescent="0.25">
      <c r="A22" s="100"/>
      <c r="B22" s="115" t="s">
        <v>127</v>
      </c>
      <c r="C22" s="466"/>
      <c r="D22" s="467"/>
      <c r="E22" s="468"/>
      <c r="F22" s="474"/>
      <c r="G22" s="100"/>
      <c r="H22" s="100"/>
      <c r="I22" s="100"/>
      <c r="J22" s="100"/>
      <c r="K22" s="100"/>
    </row>
    <row r="23" spans="1:11" ht="4.5" customHeight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 x14ac:dyDescent="0.2">
      <c r="A24" s="100"/>
      <c r="B24" s="116" t="s">
        <v>128</v>
      </c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1" x14ac:dyDescent="0.2">
      <c r="A25" s="100"/>
      <c r="B25" s="116" t="s">
        <v>129</v>
      </c>
      <c r="C25" s="100"/>
      <c r="D25" s="100"/>
      <c r="E25" s="100"/>
      <c r="F25" s="100"/>
      <c r="G25" s="100"/>
      <c r="H25" s="100"/>
      <c r="I25" s="100"/>
      <c r="J25" s="100"/>
      <c r="K25" s="100"/>
    </row>
    <row r="26" spans="1:11" ht="15" customHeight="1" x14ac:dyDescent="0.2">
      <c r="A26" s="100"/>
      <c r="B26" s="117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1:11" ht="15" x14ac:dyDescent="0.25">
      <c r="A27" s="100"/>
      <c r="B27" s="105" t="s">
        <v>130</v>
      </c>
      <c r="C27" s="100"/>
      <c r="D27" s="100"/>
      <c r="E27" s="100"/>
      <c r="F27" s="100"/>
      <c r="G27" s="100"/>
      <c r="H27" s="100"/>
      <c r="I27" s="100"/>
      <c r="J27" s="100"/>
      <c r="K27" s="100"/>
    </row>
    <row r="28" spans="1:11" ht="5.25" customHeight="1" thickBot="1" x14ac:dyDescent="0.2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 ht="15" customHeight="1" x14ac:dyDescent="0.2">
      <c r="A29" s="100"/>
      <c r="B29" s="118" t="s">
        <v>131</v>
      </c>
      <c r="C29" s="119" t="s">
        <v>132</v>
      </c>
      <c r="D29" s="425" t="s">
        <v>113</v>
      </c>
      <c r="E29" s="469" t="s">
        <v>133</v>
      </c>
      <c r="F29" s="417"/>
      <c r="G29" s="418"/>
      <c r="H29" s="425" t="s">
        <v>114</v>
      </c>
      <c r="I29" s="119" t="s">
        <v>111</v>
      </c>
      <c r="J29" s="452" t="s">
        <v>115</v>
      </c>
      <c r="K29" s="100"/>
    </row>
    <row r="30" spans="1:11" ht="15" customHeight="1" thickBot="1" x14ac:dyDescent="0.25">
      <c r="A30" s="100"/>
      <c r="B30" s="120"/>
      <c r="C30" s="121"/>
      <c r="D30" s="415"/>
      <c r="E30" s="122" t="s">
        <v>134</v>
      </c>
      <c r="F30" s="122" t="s">
        <v>135</v>
      </c>
      <c r="G30" s="122" t="s">
        <v>136</v>
      </c>
      <c r="H30" s="415"/>
      <c r="I30" s="123"/>
      <c r="J30" s="470"/>
      <c r="K30" s="100"/>
    </row>
    <row r="31" spans="1:11" ht="15" customHeight="1" x14ac:dyDescent="0.2">
      <c r="A31" s="100"/>
      <c r="B31" s="108" t="s">
        <v>137</v>
      </c>
      <c r="C31" s="124" t="s">
        <v>138</v>
      </c>
      <c r="D31" s="125">
        <v>10</v>
      </c>
      <c r="E31" s="126">
        <v>800</v>
      </c>
      <c r="F31" s="126">
        <v>40</v>
      </c>
      <c r="G31" s="126">
        <v>3</v>
      </c>
      <c r="H31" s="127">
        <f>IF(E31&gt;0,IF(F31&gt;0,IF(G31&lt;=F31,IF(E31&gt;=0,IF(G31&lt;&gt;"",G31*E31*D31/F31,""),""),"chyba !"),""),"")</f>
        <v>600</v>
      </c>
      <c r="I31" s="128" t="s">
        <v>121</v>
      </c>
      <c r="J31" s="129">
        <f>IF(I31="květen",-H31/47.57+15674.6/H31+44.54,IF(I31="červen",-H31/47.57+15674.6/H31+44.54,IF(I31="červenec",-H31/47.57+15674.6/H31+44.54,IF(I31="srpen",-H31/47.57+15674.6/H31+44.54,"chybně měsíc!"))))</f>
        <v>58.051341952210777</v>
      </c>
      <c r="K31" s="100"/>
    </row>
    <row r="32" spans="1:11" ht="15" customHeight="1" x14ac:dyDescent="0.2">
      <c r="A32" s="100"/>
      <c r="B32" s="112" t="s">
        <v>139</v>
      </c>
      <c r="C32" s="130" t="s">
        <v>138</v>
      </c>
      <c r="D32" s="131">
        <v>1.8</v>
      </c>
      <c r="E32" s="132">
        <v>12000</v>
      </c>
      <c r="F32" s="132">
        <v>60</v>
      </c>
      <c r="G32" s="132">
        <v>3</v>
      </c>
      <c r="H32" s="133">
        <f>IF(E32&gt;0,IF(F32&gt;0,IF(G32&lt;=F32,IF(E32&gt;=0,IF(G32&lt;&gt;"",G32*E32*D32/F32,""),""),"chyba !"),""),"")</f>
        <v>1080</v>
      </c>
      <c r="I32" s="134" t="s">
        <v>121</v>
      </c>
      <c r="J32" s="135">
        <f>IF(I32="květen",-H32/47.57+15674.6/H32+44.54,IF(I32="červen",-H32/47.57+15674.6/H32+44.54,IF(I32="červenec",-H32/47.57+15674.6/H32+44.54,IF(I32="srpen",-H32/47.57+15674.6/H32+44.54,IF(I32="září",-H32/47.57+15674.6/H32+44.54,IF(I32="duben",-H32/31.37+10486.2/H32+104.48,"chybně měsíc!"))))))</f>
        <v>36.35013403249792</v>
      </c>
      <c r="K32" s="100"/>
    </row>
    <row r="33" spans="1:11" ht="15" customHeight="1" x14ac:dyDescent="0.2">
      <c r="A33" s="100"/>
      <c r="B33" s="136" t="s">
        <v>140</v>
      </c>
      <c r="C33" s="130" t="s">
        <v>138</v>
      </c>
      <c r="D33" s="137">
        <v>2.9</v>
      </c>
      <c r="E33" s="132">
        <v>42000</v>
      </c>
      <c r="F33" s="132">
        <v>150</v>
      </c>
      <c r="G33" s="132">
        <v>2</v>
      </c>
      <c r="H33" s="138">
        <f>IF(E33&gt;0,IF(F33&gt;0,IF(G33&lt;=F33,IF(E33&gt;=0,IF(G33&lt;&gt;"",G33*E33*D33/F33,""),""),"chyba !"),""),"")</f>
        <v>1624</v>
      </c>
      <c r="I33" s="134" t="s">
        <v>121</v>
      </c>
      <c r="J33" s="139">
        <f>IF(I33="květen",-H33/47.57+15674.6/H33+44.54,IF(I33="červen",-H33/47.57+15674.6/H33+44.54,IF(I33="červenec",-H33/47.57+15674.6/H33+44.54,IF(I33="srpen",-H33/47.57+15674.6/H33+44.54,IF(I33="září",-H33/47.57+15674.6/H33+44.54,IF(I33="duben",-H33/31.37+10486.2/H33+104.48,"chybně měsíc!"))))))</f>
        <v>20.05268395240201</v>
      </c>
      <c r="K33" s="100"/>
    </row>
    <row r="34" spans="1:11" ht="15" customHeight="1" thickBot="1" x14ac:dyDescent="0.25">
      <c r="A34" s="100"/>
      <c r="B34" s="140" t="s">
        <v>140</v>
      </c>
      <c r="C34" s="141" t="s">
        <v>141</v>
      </c>
      <c r="D34" s="142">
        <v>1</v>
      </c>
      <c r="E34" s="143">
        <v>18000</v>
      </c>
      <c r="F34" s="143">
        <v>90</v>
      </c>
      <c r="G34" s="143">
        <v>4</v>
      </c>
      <c r="H34" s="144">
        <f>IF(E34&gt;0,IF(F34&gt;0,IF(G34&lt;=F34,IF(E34&gt;=0,IF(G34&lt;&gt;"",G34*E34*D34/F34,""),""),"chyba !"),""),"")</f>
        <v>800</v>
      </c>
      <c r="I34" s="145" t="s">
        <v>127</v>
      </c>
      <c r="J34" s="146">
        <f>IF(I34="říjen",-E19/36.42+9735.6/E19+264.95,IF(I34="listopad",-E21/36.42+9735.6/E21+264.95,IF(I34="prosinec",-E21/36.42+9735.6/E21+264.95,IF(I34="leden",-E11/36.86+12807.5/E11+194.55,IF(I34="únor",-E11/35.18+12160.2/E11+163.09,IF(I34="březen",-E13/32.75+10920.9/E13+136.07,"chybně měsíc!"))))))</f>
        <v>264.70153542009882</v>
      </c>
      <c r="K34" s="100"/>
    </row>
    <row r="35" spans="1:11" ht="6.7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x14ac:dyDescent="0.2">
      <c r="A36" s="100"/>
      <c r="B36" s="147" t="s">
        <v>142</v>
      </c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1" x14ac:dyDescent="0.2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1" x14ac:dyDescent="0.2">
      <c r="A38" s="100"/>
      <c r="B38" s="148" t="s">
        <v>143</v>
      </c>
      <c r="C38" s="100"/>
      <c r="D38" s="100"/>
      <c r="E38" s="100"/>
      <c r="F38" s="100"/>
      <c r="G38" s="149" t="s">
        <v>144</v>
      </c>
      <c r="H38" s="100"/>
      <c r="I38" s="100"/>
      <c r="J38" s="100"/>
      <c r="K38" s="100"/>
    </row>
    <row r="39" spans="1:1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</sheetData>
  <sheetProtection password="B011" sheet="1" objects="1" scenarios="1"/>
  <protectedRanges>
    <protectedRange sqref="E31:G34" name="Oblast2"/>
    <protectedRange sqref="C11:C22" name="Oblast1"/>
    <protectedRange sqref="I31:I34" name="Oblast3"/>
  </protectedRanges>
  <mergeCells count="25">
    <mergeCell ref="D29:D30"/>
    <mergeCell ref="E29:G29"/>
    <mergeCell ref="H29:H30"/>
    <mergeCell ref="J29:J30"/>
    <mergeCell ref="F15:F18"/>
    <mergeCell ref="F21:F22"/>
    <mergeCell ref="C19:C20"/>
    <mergeCell ref="D19:D20"/>
    <mergeCell ref="E19:E20"/>
    <mergeCell ref="C21:C22"/>
    <mergeCell ref="D21:D22"/>
    <mergeCell ref="E21:E22"/>
    <mergeCell ref="C13:C14"/>
    <mergeCell ref="D13:D14"/>
    <mergeCell ref="E13:E14"/>
    <mergeCell ref="C15:C18"/>
    <mergeCell ref="D15:D18"/>
    <mergeCell ref="E15:E18"/>
    <mergeCell ref="C9:C10"/>
    <mergeCell ref="D9:D10"/>
    <mergeCell ref="E9:E10"/>
    <mergeCell ref="F9:F10"/>
    <mergeCell ref="C11:C12"/>
    <mergeCell ref="D11:D12"/>
    <mergeCell ref="E11:E12"/>
  </mergeCells>
  <hyperlinks>
    <hyperlink ref="G38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Karta matky</vt:lpstr>
      <vt:lpstr>Poznámky</vt:lpstr>
      <vt:lpstr>Hárok1</vt:lpstr>
      <vt:lpstr>HT č.01</vt:lpstr>
      <vt:lpstr>HT č.02</vt:lpstr>
      <vt:lpstr>HT č.03 uni</vt:lpstr>
      <vt:lpstr>HT č.04 uni</vt:lpstr>
      <vt:lpstr>PDDN.Var.</vt:lpstr>
      <vt:lpstr>Var.Cal.Mar.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 Vladimír</dc:creator>
  <cp:lastModifiedBy>Vladimír Sokol</cp:lastModifiedBy>
  <cp:lastPrinted>2022-08-11T11:39:42Z</cp:lastPrinted>
  <dcterms:created xsi:type="dcterms:W3CDTF">1999-12-19T13:46:02Z</dcterms:created>
  <dcterms:modified xsi:type="dcterms:W3CDTF">2025-04-13T21:10:06Z</dcterms:modified>
</cp:coreProperties>
</file>